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65" windowWidth="15600" windowHeight="7350" tabRatio="584" activeTab="0"/>
  </bookViews>
  <sheets>
    <sheet name="1-38 01 02" sheetId="1" r:id="rId1"/>
  </sheets>
  <definedNames/>
  <calcPr fullCalcOnLoad="1"/>
</workbook>
</file>

<file path=xl/sharedStrings.xml><?xml version="1.0" encoding="utf-8"?>
<sst xmlns="http://schemas.openxmlformats.org/spreadsheetml/2006/main" count="714" uniqueCount="431">
  <si>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</si>
  <si>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</si>
  <si>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</si>
  <si>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</si>
  <si>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</si>
  <si>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</si>
  <si>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</si>
  <si>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</si>
  <si>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</si>
  <si>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</si>
  <si>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</si>
  <si>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</si>
  <si>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</si>
  <si>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</si>
  <si>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</si>
  <si>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</si>
  <si>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</si>
  <si>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</si>
  <si>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</si>
  <si>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</si>
  <si>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</si>
  <si>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</si>
  <si>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</si>
  <si>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</si>
  <si>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</si>
  <si>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</si>
  <si>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</si>
  <si>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</si>
  <si>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</si>
  <si>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</si>
  <si>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</si>
  <si>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</si>
  <si>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</si>
  <si>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</si>
  <si>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</si>
  <si>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</si>
  <si>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</si>
  <si>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</si>
  <si>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</si>
  <si>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</si>
  <si>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</si>
  <si>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</si>
  <si>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</si>
  <si>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</si>
  <si>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</si>
  <si>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</si>
  <si>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</si>
  <si>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</si>
  <si>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</si>
  <si>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</si>
  <si>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</si>
  <si>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</si>
  <si>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</si>
  <si>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</si>
  <si>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</si>
  <si>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</si>
  <si>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</si>
  <si>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</si>
  <si>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</si>
  <si>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</si>
  <si>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</si>
  <si>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</si>
  <si>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</si>
  <si>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</si>
  <si>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</si>
  <si>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</si>
  <si>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</si>
  <si>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</si>
  <si>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</si>
  <si>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</si>
  <si>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</si>
  <si>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</si>
  <si>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</si>
  <si>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</si>
  <si>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</si>
  <si>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</si>
  <si>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</si>
  <si>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</si>
  <si>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</si>
  <si>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</si>
  <si>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</si>
  <si>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</si>
  <si>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</si>
  <si>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</si>
  <si>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</si>
  <si>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</si>
  <si>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</si>
  <si>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</si>
  <si>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</si>
  <si>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</si>
  <si>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</si>
  <si>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</si>
  <si>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</si>
  <si>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</si>
  <si>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</si>
  <si>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</si>
  <si>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</si>
  <si>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</si>
  <si>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</si>
  <si>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</si>
  <si>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</si>
  <si>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</si>
  <si>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</si>
  <si>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</si>
  <si>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</si>
  <si>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</si>
  <si>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</si>
  <si>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</si>
  <si>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</si>
  <si>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</si>
  <si>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</si>
  <si>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</si>
  <si>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</si>
  <si>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</si>
  <si>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>Эксперт-нормоконтролер</t>
  </si>
  <si>
    <t>1.4</t>
  </si>
  <si>
    <t>1.5</t>
  </si>
  <si>
    <t>1.6</t>
  </si>
  <si>
    <t>IV курс</t>
  </si>
  <si>
    <t>1.7</t>
  </si>
  <si>
    <t>1.8</t>
  </si>
  <si>
    <t>2.4</t>
  </si>
  <si>
    <t>2.5</t>
  </si>
  <si>
    <t>IV</t>
  </si>
  <si>
    <t>2.7</t>
  </si>
  <si>
    <t>2.8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</si>
  <si>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</si>
  <si>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</si>
  <si>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</si>
  <si>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</si>
  <si>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</si>
  <si>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2.9</t>
  </si>
  <si>
    <t>2.10</t>
  </si>
  <si>
    <t>2.11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</si>
  <si>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</si>
  <si>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</si>
  <si>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ГОСУДАРСТВЕННЫЙ КОМПОНЕНТ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</si>
  <si>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</si>
  <si>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</si>
  <si>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</si>
  <si>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</si>
  <si>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</si>
  <si>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</si>
  <si>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</si>
  <si>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3 семестр,
17 недель</t>
  </si>
  <si>
    <t>5 семестр,
17 недель</t>
  </si>
  <si>
    <t xml:space="preserve">Специальность </t>
  </si>
  <si>
    <t>2 семестр,
16 недель</t>
  </si>
  <si>
    <t>4 семестр,
16 недель</t>
  </si>
  <si>
    <t>6 семестр,
16 недель</t>
  </si>
  <si>
    <t>Математика</t>
  </si>
  <si>
    <t>Физика</t>
  </si>
  <si>
    <t>Теоретическая механика</t>
  </si>
  <si>
    <t>Прикладная механика</t>
  </si>
  <si>
    <t>Инженерная графика</t>
  </si>
  <si>
    <t>Экономика производства</t>
  </si>
  <si>
    <t xml:space="preserve">Организация производства и управление предприятием </t>
  </si>
  <si>
    <t>Охрана труда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</si>
  <si>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</si>
  <si>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</si>
  <si>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Иностранный язык</t>
  </si>
  <si>
    <t>Белорусский язык (профессиональная лексика)</t>
  </si>
  <si>
    <t>1.9</t>
  </si>
  <si>
    <t>1.10</t>
  </si>
  <si>
    <t>1.11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</si>
  <si>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</si>
  <si>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</si>
  <si>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</si>
  <si>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</si>
  <si>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</si>
  <si>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</si>
  <si>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</si>
  <si>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</si>
  <si>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</si>
  <si>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1.22</t>
  </si>
  <si>
    <t>Теория вероятности и математическая статистика</t>
  </si>
  <si>
    <t>Информатика</t>
  </si>
  <si>
    <t>2.3</t>
  </si>
  <si>
    <t>Метрология</t>
  </si>
  <si>
    <t>Стандартизация норм точности</t>
  </si>
  <si>
    <t>Детали и механизмы приборов</t>
  </si>
  <si>
    <t>Материаловедение и технология материалов</t>
  </si>
  <si>
    <t>2.13</t>
  </si>
  <si>
    <t>2.14</t>
  </si>
  <si>
    <t>2.15</t>
  </si>
  <si>
    <t>3.3</t>
  </si>
  <si>
    <t>Коррупция и ее общественная опасность</t>
  </si>
  <si>
    <t>Введение в инженерное образование</t>
  </si>
  <si>
    <t>Перевод технической литературы</t>
  </si>
  <si>
    <t>Физическая культура</t>
  </si>
  <si>
    <t>Станочная</t>
  </si>
  <si>
    <t>Технологическая</t>
  </si>
  <si>
    <t>Конструкторско-технологическая</t>
  </si>
  <si>
    <t>Преддипломная</t>
  </si>
  <si>
    <t>Защита дипломного проекта в ГЭК</t>
  </si>
  <si>
    <t>А.М. Маляревич</t>
  </si>
  <si>
    <t>/1-6</t>
  </si>
  <si>
    <t>Модуль "Физика"</t>
  </si>
  <si>
    <t>Модуль "Экономика"</t>
  </si>
  <si>
    <t>Модуль "Безопасность жизнедеятельности"</t>
  </si>
  <si>
    <t>Модуль "Профессиональная лексика"</t>
  </si>
  <si>
    <t>Модуль "Взаимозаменяемость и технические измерения"</t>
  </si>
  <si>
    <t>Электроника и схемотехника аналоговых и цифровых устройств</t>
  </si>
  <si>
    <t>Модуль "Инженерная графика"</t>
  </si>
  <si>
    <t>УК-1</t>
  </si>
  <si>
    <t>УК-2</t>
  </si>
  <si>
    <t>УК-3</t>
  </si>
  <si>
    <t>УК-4</t>
  </si>
  <si>
    <t>УК-5</t>
  </si>
  <si>
    <t>Владеть основными понятиями и методами высшей математики; применять полученные знания для решения задач теоретической и практической направленности</t>
  </si>
  <si>
    <t>БПК-1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</si>
  <si>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</si>
  <si>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</si>
  <si>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</si>
  <si>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процессов; применять полученные знания для решения задач теоретической и практической направленности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</si>
  <si>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и узлов; оформлять и разрабатывать конструкторскую документацию</t>
  </si>
  <si>
    <t>БПК-4</t>
  </si>
  <si>
    <t>Применять физико-математические методы для расчётов механизмов, машин и конструкций, разрабатывать и анализировать их кинематические и динамические схемы</t>
  </si>
  <si>
    <t>БПК-5</t>
  </si>
  <si>
    <t>Производить практические расчеты технических конструкций и их элементов на прочность, устойчивость, жесткость; знать устройство и принципы взаимодействия деталей машин общего назначения, виды и характер их разрушений</t>
  </si>
  <si>
    <t>БПК-6</t>
  </si>
  <si>
    <t>БПК-7</t>
  </si>
  <si>
    <t>БПК-8</t>
  </si>
  <si>
    <t>Теоретические основы электротехники</t>
  </si>
  <si>
    <t>1-38 01 02 Оптико-электронные и лазерные приборы и системы</t>
  </si>
  <si>
    <t>Н.В. Кулешов</t>
  </si>
  <si>
    <t>%</t>
  </si>
  <si>
    <t>Модуль "Конструирование"</t>
  </si>
  <si>
    <t>Элементы оптических приборов</t>
  </si>
  <si>
    <t>Конструирование оптических приборов</t>
  </si>
  <si>
    <t>Теория и расчет оптических систем</t>
  </si>
  <si>
    <t>Лазеры и управление характеристиками лазерного излучения</t>
  </si>
  <si>
    <t>1.17</t>
  </si>
  <si>
    <t>2.6</t>
  </si>
  <si>
    <t>Модуль "Оптико-электронные приборы"</t>
  </si>
  <si>
    <t>Источники и приемники оптического излучения</t>
  </si>
  <si>
    <t>Оптико-электронные приборы и системы</t>
  </si>
  <si>
    <t>Модуль "Оптика"</t>
  </si>
  <si>
    <t>Физическая оптика и спектральные приборы</t>
  </si>
  <si>
    <t>Волновая оптика</t>
  </si>
  <si>
    <t>Технология оптического приборостроения</t>
  </si>
  <si>
    <t>Технология производства оптических деталей</t>
  </si>
  <si>
    <t>Оптические измерения</t>
  </si>
  <si>
    <t>Оптические покрытия и технология их нанесения</t>
  </si>
  <si>
    <t>Оптическое и лазерное материаловедение</t>
  </si>
  <si>
    <t>Модуль "Материалы"</t>
  </si>
  <si>
    <t>Волоконная и интегральная оптика</t>
  </si>
  <si>
    <t>Сборка, юстировка и испытания оптических приборов</t>
  </si>
  <si>
    <t>Техническая оптика</t>
  </si>
  <si>
    <t>Проектирование оптико-электронных приборов</t>
  </si>
  <si>
    <t>2.12</t>
  </si>
  <si>
    <t>СК-11</t>
  </si>
  <si>
    <t>СК-10</t>
  </si>
  <si>
    <t>СК-8</t>
  </si>
  <si>
    <t>СК-9</t>
  </si>
  <si>
    <t>СК-7</t>
  </si>
  <si>
    <t>СК-6</t>
  </si>
  <si>
    <t>СК-5</t>
  </si>
  <si>
    <t>СК-1</t>
  </si>
  <si>
    <t>СК-2</t>
  </si>
  <si>
    <t>СК-3</t>
  </si>
  <si>
    <t>СК-4</t>
  </si>
  <si>
    <t>Знать методику расчёта типовых узлов и правила выбора основных параметров оптико-электронных приборов</t>
  </si>
  <si>
    <t>Владеть основами композиции оптических систем, теорией синтеза базовых систем и методикой аберрационной коррекции её элементов</t>
  </si>
  <si>
    <t>Знать теоретические основы юстировки и контрольно-юстировочные приборы общего назначения, определять положение точек автоколлимации при центрировании оптических элементов</t>
  </si>
  <si>
    <t>Знать закономерности распространения света по планарным и волоконным оптическим диэлектрическим волноводам, методы их производства, основные классы материалов и их характеристики</t>
  </si>
  <si>
    <t>Знать теоретические основы оптических измерений и типовые узлы контрольно-измерительных оптических приборов, а также владеть практическими навыками по сборке и настройке измерительной установки</t>
  </si>
  <si>
    <t>Иметь представление о строении, свойствах, технологии производства и области применения оптических и лазерных материалов</t>
  </si>
  <si>
    <t>Знать типы и виды покрытий, методику расчёта оптимального числа слоёв и технологию их нанесения на различные поверхности оптических деталей</t>
  </si>
  <si>
    <t>Владеть физическими основами и принципами построения типовых оптико-электронных приборов различного назначения</t>
  </si>
  <si>
    <t>Уметь определять параметры и характеристики источников и приёмников оптического излучения и осуществлять выбор соответствующего контрольно-измерительного оборудования</t>
  </si>
  <si>
    <t>Знать теоретические и практические основы обработки оптических деталей и способы контроля их исполнительных поверхностей, а также методы повышения их качества</t>
  </si>
  <si>
    <t>Иметь представление о процессах изготовления деталей приборов из металла и пластмасс, конструкции инструментов, оснастке и технологическом оборудовании</t>
  </si>
  <si>
    <t>УК-8</t>
  </si>
  <si>
    <t>Владеть навыками 2-х и 3-х мерного компьютерного проектирования оптических приборов и сборочных единиц</t>
  </si>
  <si>
    <t>Знать устройство и назначение типовых элементов крепления оптических деталей и оптико-электронных модулей, варианты их конструктивного исполнения</t>
  </si>
  <si>
    <t>Знать основные принципы построения типовых оптических систем, методы проведения габаритного и аберрационного расчёта и оценки качества изображения</t>
  </si>
  <si>
    <t>БПК-13</t>
  </si>
  <si>
    <t>БПК-12</t>
  </si>
  <si>
    <t>БПК-11</t>
  </si>
  <si>
    <t>БПК-10</t>
  </si>
  <si>
    <t>БПК-9</t>
  </si>
  <si>
    <t>УК-6</t>
  </si>
  <si>
    <t>УК-7</t>
  </si>
  <si>
    <t>УК-9</t>
  </si>
  <si>
    <t>УК-10</t>
  </si>
  <si>
    <t>УК-11</t>
  </si>
  <si>
    <t>Быть способным анализировать современные социально-экономические отношения и процессы, применять полученные знания для принятия рациональных решений в профессиональной деятельности</t>
  </si>
  <si>
    <t>Владеть основами производственных отношений и принципами управления промышленным предприятием</t>
  </si>
  <si>
    <t>Быть способным применять основные законодательные, нормативно-правовые и нормативно-технические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</si>
  <si>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</si>
  <si>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1.1</t>
  </si>
  <si>
    <t>Знать основные средства измерения и методы обеспечения их единства измерения, способы достижения требуемой точности и качества</t>
  </si>
  <si>
    <t>Знать совокупность норм и правил, обеспечивающих безопасность продукции для окружающей среды, технической и информационной совместимости, взаимозаменяемости в соответствии с уровнем развития науки, техники и технологии</t>
  </si>
  <si>
    <t>Знать физические принципы действия устройств и механизмов, уметь разрабатывать функциональные и структурные схемы приборов</t>
  </si>
  <si>
    <t>Знать основные физико-механические свойства и характеристики металлических и неметаллических материалов, уметь определять марки материалов и правила их обозначения</t>
  </si>
  <si>
    <t>Иметь базовые знания и навыки в области электроники и схемотехники аналоговых, цифровых и микропроцессорных устройств</t>
  </si>
  <si>
    <t>Модуль "Электротехника"</t>
  </si>
  <si>
    <t>Модуль "Электроника"</t>
  </si>
  <si>
    <t>Знать основные физические процессы и закономерности распространения оптического излучения и его взаимодействие с веществом, основы практического использования изучаемых явлений в  оптико-электронных и лазерных приборах</t>
  </si>
  <si>
    <t>Знать теоретические основы описания физических явлений, возникающих в процессе распространения оптического излучения и его взаимодействия с веществом, в которых проявляется волновая природа света</t>
  </si>
  <si>
    <t>Модуль "Расчёт оптических систем"</t>
  </si>
  <si>
    <t>Модуль "Лазеры"</t>
  </si>
  <si>
    <t>Модуль "Технологии"</t>
  </si>
  <si>
    <t>Модуль "Техническая оптика"</t>
  </si>
  <si>
    <t>Модуль "Проектирование и производство"</t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</si>
  <si>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09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10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</si>
  <si>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10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11</t>
    </r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</si>
  <si>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12
</t>
    </r>
    <r>
      <rPr>
        <u val="single"/>
        <sz val="20"/>
        <color indexed="8"/>
        <rFont val="Times New Roman"/>
        <family val="1"/>
      </rPr>
      <t>04</t>
    </r>
    <r>
      <rPr>
        <sz val="20"/>
        <color indexed="8"/>
        <rFont val="Times New Roman"/>
        <family val="1"/>
      </rPr>
      <t xml:space="preserve">
01</t>
    </r>
  </si>
  <si>
    <r>
      <rPr>
        <u val="single"/>
        <sz val="20"/>
        <color indexed="8"/>
        <rFont val="Times New Roman"/>
        <family val="1"/>
      </rPr>
      <t xml:space="preserve">26 </t>
    </r>
    <r>
      <rPr>
        <sz val="20"/>
        <color indexed="8"/>
        <rFont val="Times New Roman"/>
        <family val="1"/>
      </rPr>
      <t xml:space="preserve">
01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02</t>
    </r>
  </si>
  <si>
    <r>
      <rPr>
        <u val="single"/>
        <sz val="20"/>
        <color indexed="8"/>
        <rFont val="Times New Roman"/>
        <family val="1"/>
      </rPr>
      <t xml:space="preserve">23 </t>
    </r>
    <r>
      <rPr>
        <sz val="20"/>
        <color indexed="8"/>
        <rFont val="Times New Roman"/>
        <family val="1"/>
      </rPr>
      <t xml:space="preserve">
02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03</t>
    </r>
  </si>
  <si>
    <r>
      <rPr>
        <u val="single"/>
        <sz val="20"/>
        <color indexed="8"/>
        <rFont val="Times New Roman"/>
        <family val="1"/>
      </rPr>
      <t xml:space="preserve">30 </t>
    </r>
    <r>
      <rPr>
        <sz val="20"/>
        <color indexed="8"/>
        <rFont val="Times New Roman"/>
        <family val="1"/>
      </rPr>
      <t xml:space="preserve">
03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04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</si>
  <si>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04
</t>
    </r>
    <r>
      <rPr>
        <u val="single"/>
        <sz val="20"/>
        <color indexed="8"/>
        <rFont val="Times New Roman"/>
        <family val="1"/>
      </rPr>
      <t>03</t>
    </r>
    <r>
      <rPr>
        <sz val="20"/>
        <color indexed="8"/>
        <rFont val="Times New Roman"/>
        <family val="1"/>
      </rPr>
      <t xml:space="preserve">
05</t>
    </r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</si>
  <si>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06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07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</si>
  <si>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07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08</t>
    </r>
  </si>
  <si>
    <r>
      <t xml:space="preserve">7 семестр,
</t>
    </r>
    <r>
      <rPr>
        <sz val="20"/>
        <color indexed="8"/>
        <rFont val="Times New Roman"/>
        <family val="1"/>
      </rPr>
      <t>16 недель</t>
    </r>
  </si>
  <si>
    <r>
      <t>8 семестр,
8</t>
    </r>
    <r>
      <rPr>
        <sz val="20"/>
        <color indexed="8"/>
        <rFont val="Times New Roman"/>
        <family val="1"/>
      </rPr>
      <t xml:space="preserve"> недель</t>
    </r>
  </si>
  <si>
    <t>Министерство образования Республики Беларусь</t>
  </si>
  <si>
    <t>Специализации согласно ОКРБ 011-2009</t>
  </si>
  <si>
    <t>Учереждения высшего образования</t>
  </si>
  <si>
    <t>Название модуля,
учебной дисциплины, курсового проекта (курсовой работы)</t>
  </si>
  <si>
    <t>4.2</t>
  </si>
  <si>
    <t>Социально-гуманитарный модуль 1</t>
  </si>
  <si>
    <t>Владеть основами электрических и магнитных явлений и способность использовать навыки в машинах и приборах</t>
  </si>
  <si>
    <t>Знать функциональные схемы источников света, на базе лазеров непрерывного и импульсного действия, оптических и оптико-электронных элементов, а также устройства управления характеристиками лазерного излучения</t>
  </si>
  <si>
    <t>3.4</t>
  </si>
  <si>
    <t>Социально-гуманитарный модуль 2</t>
  </si>
  <si>
    <t>1,2,3</t>
  </si>
  <si>
    <t>1.23</t>
  </si>
  <si>
    <t>И.В. Титович</t>
  </si>
  <si>
    <t>С.А. Касперович</t>
  </si>
  <si>
    <t>И.Н. Михайлова</t>
  </si>
  <si>
    <t>1-38 01 02 01 Оптические и оптико-электронные приборы и комплексы;</t>
  </si>
  <si>
    <t>1-38 01 02 02 Лазерные системы и технологии;</t>
  </si>
  <si>
    <t>1-38 01 02 03 Технология оптического и лазерного приборостроения;</t>
  </si>
  <si>
    <t>1-38 01 02 04 Светотехника и источники света;</t>
  </si>
  <si>
    <t>1-38 01 02 05 Космические оптико-электронные приборы.</t>
  </si>
  <si>
    <t>/1</t>
  </si>
  <si>
    <t>/16</t>
  </si>
  <si>
    <t>/10</t>
  </si>
  <si>
    <t>/32</t>
  </si>
  <si>
    <t>/68</t>
  </si>
  <si>
    <t>/34</t>
  </si>
  <si>
    <t>/64</t>
  </si>
  <si>
    <t>УК-12</t>
  </si>
  <si>
    <t>УК-13</t>
  </si>
  <si>
    <t>Обладать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</t>
  </si>
  <si>
    <t>Владеть навыками здоровьесбережения</t>
  </si>
  <si>
    <t xml:space="preserve">_______________  </t>
  </si>
  <si>
    <t>Политология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</si>
  <si>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</si>
  <si>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1.24</t>
  </si>
  <si>
    <t>1.25</t>
  </si>
  <si>
    <t>1.26</t>
  </si>
  <si>
    <t>БПК-14</t>
  </si>
  <si>
    <t>БПК-15</t>
  </si>
  <si>
    <t>БПК-16</t>
  </si>
  <si>
    <t>Обладать базовыми навыками оценки объёмов использования экологических и энергетических ресурсов и эффективности их использования на производственных предприятиях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</si>
  <si>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</si>
  <si>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t xml:space="preserve">1 </t>
    </r>
    <r>
      <rPr>
        <vertAlign val="superscript"/>
        <sz val="20"/>
        <color indexed="8"/>
        <rFont val="Times New Roman"/>
        <family val="1"/>
      </rPr>
      <t>1</t>
    </r>
  </si>
  <si>
    <r>
      <t xml:space="preserve">2 </t>
    </r>
    <r>
      <rPr>
        <vertAlign val="superscript"/>
        <sz val="20"/>
        <color indexed="8"/>
        <rFont val="Times New Roman"/>
        <family val="1"/>
      </rPr>
      <t>1</t>
    </r>
  </si>
  <si>
    <t>История</t>
  </si>
  <si>
    <t>Экономика</t>
  </si>
  <si>
    <t>Модуль "Математика и информатика"</t>
  </si>
  <si>
    <t>Модуль "Механика"</t>
  </si>
  <si>
    <t>/2</t>
  </si>
  <si>
    <t>/5,6</t>
  </si>
  <si>
    <t>/8</t>
  </si>
  <si>
    <t>/66</t>
  </si>
  <si>
    <t>/124</t>
  </si>
  <si>
    <t>/26</t>
  </si>
  <si>
    <t>/98</t>
  </si>
  <si>
    <t>/330</t>
  </si>
  <si>
    <t>Психология труда/История мировой культуры</t>
  </si>
  <si>
    <t>Политические институты и политические процессы/Логика</t>
  </si>
  <si>
    <t>1.27</t>
  </si>
  <si>
    <t>УК-14</t>
  </si>
  <si>
    <t>БПК-17</t>
  </si>
  <si>
    <t>БПК-18</t>
  </si>
  <si>
    <r>
      <t xml:space="preserve">2 </t>
    </r>
    <r>
      <rPr>
        <vertAlign val="superscript"/>
        <sz val="20"/>
        <color indexed="8"/>
        <rFont val="Times New Roman"/>
        <family val="1"/>
      </rPr>
      <t>1</t>
    </r>
  </si>
  <si>
    <t>УК-11/УК-12</t>
  </si>
  <si>
    <t>УК-13/УК-14</t>
  </si>
  <si>
    <t>УК-15</t>
  </si>
  <si>
    <t>УК-16</t>
  </si>
  <si>
    <t>Протокол № 6 от 14 февраля 2018 г.</t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</si>
  <si>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Дифференцированный зачёт.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</si>
  <si>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В рамках данной специальности могут быть реализованы следующие специализации:</t>
    </r>
  </si>
  <si>
    <t>1.5, 1.6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</si>
  <si>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</si>
  <si>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</si>
  <si>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</si>
  <si>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избиратель, гражданин и патриот своей страны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</si>
  <si>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</si>
  <si>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t>Уметь учиться, повышать свою квалификацию в течение всей жизни</t>
  </si>
  <si>
    <t>Обладать качествами гражданственности</t>
  </si>
  <si>
    <r>
      <t xml:space="preserve">Квалификация специалиста </t>
    </r>
    <r>
      <rPr>
        <b/>
        <sz val="24"/>
        <color indexed="8"/>
        <rFont val="Times New Roman"/>
        <family val="1"/>
      </rPr>
      <t>инженер</t>
    </r>
  </si>
  <si>
    <t>Код модуля, учебной дисциплины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</si>
  <si>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</si>
  <si>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Разработан в качестве примера реализации образовательного стандарта по специальности 1-38 01 02 "Оптико-электронные и лазерные приборы и системы".</t>
  </si>
  <si>
    <t xml:space="preserve">  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</si>
  <si>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</si>
  <si>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приборостроения, использовать иностранный язык в качестве инструмента профессиональной деятельности</t>
  </si>
  <si>
    <t>1.9, 3.4</t>
  </si>
  <si>
    <t>УК-4, СК-1</t>
  </si>
  <si>
    <t>УК-4, СК-2</t>
  </si>
  <si>
    <t>СК-12</t>
  </si>
  <si>
    <t>СК-13</t>
  </si>
  <si>
    <t>Зачётных
единиц</t>
  </si>
  <si>
    <t>1.4, 2.3, 2.4</t>
  </si>
  <si>
    <t>Председатель УМО по образованию в области приборостроения</t>
  </si>
  <si>
    <t>КОМПОНЕНТ УЧРЕЖДЕНИЯ ВЫСШЕГО ОБРАЗОВАНИЯ</t>
  </si>
  <si>
    <t>Председатель НМС по специальностям: 1-38 01 02 "Оптико-электронные и лазерные приборы и системы"; 1-38 80 02 "Оптические и оптико-электронные приборы и комплексы"</t>
  </si>
  <si>
    <t>Рекомендован к утверждению Президиумом Совета УМО по образованию в области приборостроения</t>
  </si>
  <si>
    <t>Начальник Главного управления профессионального образования Министерства образования Республики Беларусь</t>
  </si>
  <si>
    <t>3.3, 4.2</t>
  </si>
  <si>
    <t>Продолжение типового учебного плана по специальности 1-38 01 02 "Оптико-электронные и лазерные приборы и системы", регистрационный №_______________________________</t>
  </si>
  <si>
    <t>Проректор по научно-методической работе Государственного учреждения образования
«Республиканский институт высшей школы»</t>
  </si>
  <si>
    <t>Курсовая работа по учебной дисциплине "Прикладная механика"</t>
  </si>
  <si>
    <t>Курсовой проект по учебной дисциплине "Детали и механизмы приборов"</t>
  </si>
  <si>
    <t>Курсовой проект по учебной дисциплине "Стандартизация норм точности"</t>
  </si>
  <si>
    <t>Курсовой проект по дисциплине "Теория и расчет оптических систем"</t>
  </si>
  <si>
    <t>Курсовая работа по учебной дисциплине "Лазеры и управление характеристиками лазерного излучения"</t>
  </si>
  <si>
    <t>Курсовой проект по учебной дисциплине "Конструирование оптических приборов"</t>
  </si>
  <si>
    <t>Курсовая работа по учебной дисциплине "Информатика"</t>
  </si>
  <si>
    <t>Курсовая работа по учебной дисциплине "Организация производства и управление предприятием "</t>
  </si>
  <si>
    <t>Курсовая работа по дисциплине "Технология производства оптических деталей"</t>
  </si>
  <si>
    <t>Курсовая работа по учебной дисциплине "Технология оптического приборостроения"</t>
  </si>
  <si>
    <t>Курсовая работа по дисциплине "Оптические измерения"</t>
  </si>
  <si>
    <r>
      <t xml:space="preserve"> 1-38 01 02 01 Оптические и оптико-электронные приборы и комплексы </t>
    </r>
    <r>
      <rPr>
        <b/>
        <vertAlign val="superscript"/>
        <sz val="20"/>
        <rFont val="Times New Roman"/>
        <family val="1"/>
      </rPr>
      <t>2</t>
    </r>
  </si>
  <si>
    <t>Курсовой проект по дисциплине "Проектирование оптико-электронных приборов"</t>
  </si>
  <si>
    <t>Курсовая работа по дисциплине "Техническая оптика"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</si>
</sst>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u val="single"/>
      <sz val="20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u val="single"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18"/>
      <color indexed="8"/>
      <name val="Arial Cyr"/>
      <family val="0"/>
    </font>
    <font>
      <sz val="72"/>
      <color indexed="8"/>
      <name val="Times New Roman"/>
      <family val="1"/>
    </font>
    <font>
      <sz val="16"/>
      <color indexed="8"/>
      <name val="Times New Roman"/>
      <family val="1"/>
    </font>
    <font>
      <b/>
      <sz val="28"/>
      <color indexed="40"/>
      <name val="Arial Cyr"/>
      <family val="0"/>
    </font>
    <font>
      <b/>
      <sz val="28"/>
      <color indexed="40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9"/>
      <name val="Arial"/>
      <family val="2"/>
    </font>
    <font>
      <b/>
      <sz val="28"/>
      <color indexed="9"/>
      <name val="Times New Roman"/>
      <family val="1"/>
    </font>
    <font>
      <sz val="20"/>
      <color indexed="10"/>
      <name val="Times New Roman"/>
      <family val="1"/>
    </font>
    <font>
      <b/>
      <sz val="21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vertAlign val="superscript"/>
      <sz val="20"/>
      <name val="Times New Roman"/>
      <family val="1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sz val="18"/>
      <color theme="1"/>
      <name val="Arial Cyr"/>
      <family val="0"/>
    </font>
    <font>
      <sz val="72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rgb="FF00B0F0"/>
      <name val="Arial Cyr"/>
      <family val="0"/>
    </font>
    <font>
      <b/>
      <sz val="28"/>
      <color rgb="FF00B0F0"/>
      <name val="Times New Roman"/>
      <family val="1"/>
    </font>
    <font>
      <b/>
      <i/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21"/>
      <color theme="1"/>
      <name val="Times New Roman"/>
      <family val="1"/>
    </font>
    <font>
      <b/>
      <sz val="28"/>
      <color theme="0"/>
      <name val="Arial"/>
      <family val="2"/>
    </font>
    <font>
      <b/>
      <sz val="28"/>
      <color theme="0"/>
      <name val="Times New Roman"/>
      <family val="1"/>
    </font>
    <font>
      <b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2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9" fillId="0" borderId="0" xfId="0" applyFont="1" applyFill="1" applyAlignment="1">
      <alignment vertical="top"/>
    </xf>
    <xf numFmtId="0" fontId="78" fillId="0" borderId="0" xfId="0" applyFont="1" applyFill="1" applyAlignment="1">
      <alignment vertical="top"/>
    </xf>
    <xf numFmtId="0" fontId="74" fillId="0" borderId="0" xfId="0" applyFont="1" applyFill="1" applyAlignment="1">
      <alignment vertical="top"/>
    </xf>
    <xf numFmtId="0" fontId="74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vertical="justify" wrapText="1"/>
    </xf>
    <xf numFmtId="0" fontId="80" fillId="0" borderId="0" xfId="0" applyFont="1" applyFill="1" applyAlignment="1">
      <alignment vertical="top"/>
    </xf>
    <xf numFmtId="0" fontId="80" fillId="0" borderId="0" xfId="0" applyFont="1" applyFill="1" applyAlignment="1">
      <alignment horizontal="left" vertical="top"/>
    </xf>
    <xf numFmtId="0" fontId="74" fillId="0" borderId="0" xfId="0" applyFont="1" applyFill="1" applyAlignment="1">
      <alignment horizontal="left" vertical="top"/>
    </xf>
    <xf numFmtId="0" fontId="82" fillId="0" borderId="0" xfId="51" applyFont="1" applyFill="1" applyBorder="1">
      <alignment/>
    </xf>
    <xf numFmtId="0" fontId="76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49" fontId="79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9" fontId="83" fillId="0" borderId="10" xfId="0" applyNumberFormat="1" applyFont="1" applyFill="1" applyBorder="1" applyAlignment="1">
      <alignment vertical="center"/>
    </xf>
    <xf numFmtId="0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/>
    </xf>
    <xf numFmtId="49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49" fontId="85" fillId="0" borderId="1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0" fillId="0" borderId="11" xfId="0" applyFont="1" applyFill="1" applyBorder="1" applyAlignment="1">
      <alignment/>
    </xf>
    <xf numFmtId="0" fontId="75" fillId="0" borderId="0" xfId="0" applyFont="1" applyFill="1" applyAlignment="1">
      <alignment horizontal="center" vertical="top" wrapText="1"/>
    </xf>
    <xf numFmtId="0" fontId="75" fillId="0" borderId="0" xfId="0" applyFont="1" applyFill="1" applyAlignment="1">
      <alignment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vertical="top" wrapText="1"/>
    </xf>
    <xf numFmtId="0" fontId="75" fillId="0" borderId="0" xfId="0" applyFont="1" applyFill="1" applyAlignment="1">
      <alignment vertical="top"/>
    </xf>
    <xf numFmtId="0" fontId="75" fillId="0" borderId="0" xfId="0" applyFont="1" applyFill="1" applyAlignment="1">
      <alignment horizontal="center" vertical="top"/>
    </xf>
    <xf numFmtId="0" fontId="76" fillId="0" borderId="0" xfId="0" applyFont="1" applyFill="1" applyAlignment="1">
      <alignment vertical="top"/>
    </xf>
    <xf numFmtId="0" fontId="87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49" fontId="8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9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5" fillId="0" borderId="0" xfId="0" applyFont="1" applyFill="1" applyAlignment="1">
      <alignment vertical="justify"/>
    </xf>
    <xf numFmtId="0" fontId="4" fillId="0" borderId="0" xfId="0" applyFont="1" applyFill="1" applyAlignment="1">
      <alignment/>
    </xf>
    <xf numFmtId="0" fontId="75" fillId="0" borderId="0" xfId="0" applyFont="1" applyFill="1" applyAlignment="1">
      <alignment horizontal="left" vertical="top"/>
    </xf>
    <xf numFmtId="0" fontId="75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left"/>
    </xf>
    <xf numFmtId="0" fontId="75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center" vertical="top" wrapText="1"/>
    </xf>
    <xf numFmtId="1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1" fontId="89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left" vertical="top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left"/>
    </xf>
    <xf numFmtId="0" fontId="83" fillId="0" borderId="13" xfId="0" applyFont="1" applyFill="1" applyBorder="1" applyAlignment="1">
      <alignment horizontal="center" vertical="center" textRotation="90"/>
    </xf>
    <xf numFmtId="0" fontId="83" fillId="0" borderId="14" xfId="0" applyFont="1" applyFill="1" applyBorder="1" applyAlignment="1">
      <alignment horizontal="center" vertical="center" textRotation="90"/>
    </xf>
    <xf numFmtId="0" fontId="83" fillId="0" borderId="15" xfId="0" applyFont="1" applyFill="1" applyBorder="1" applyAlignment="1">
      <alignment horizontal="center" vertical="center" textRotation="90"/>
    </xf>
    <xf numFmtId="0" fontId="83" fillId="0" borderId="16" xfId="0" applyFont="1" applyFill="1" applyBorder="1" applyAlignment="1">
      <alignment horizontal="center" vertical="center" textRotation="90"/>
    </xf>
    <xf numFmtId="0" fontId="83" fillId="0" borderId="17" xfId="0" applyFont="1" applyFill="1" applyBorder="1" applyAlignment="1">
      <alignment horizontal="center" vertical="center" textRotation="90"/>
    </xf>
    <xf numFmtId="0" fontId="83" fillId="0" borderId="18" xfId="0" applyFont="1" applyFill="1" applyBorder="1" applyAlignment="1">
      <alignment horizontal="center" vertical="center" textRotation="90"/>
    </xf>
    <xf numFmtId="0" fontId="83" fillId="33" borderId="19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1" fontId="83" fillId="33" borderId="2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top"/>
    </xf>
    <xf numFmtId="0" fontId="75" fillId="0" borderId="0" xfId="0" applyFont="1" applyFill="1" applyAlignment="1">
      <alignment horizontal="left" vertical="top" wrapText="1"/>
    </xf>
    <xf numFmtId="0" fontId="7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/>
    </xf>
    <xf numFmtId="1" fontId="83" fillId="33" borderId="19" xfId="0" applyNumberFormat="1" applyFont="1" applyFill="1" applyBorder="1" applyAlignment="1">
      <alignment horizontal="center" vertical="center"/>
    </xf>
    <xf numFmtId="1" fontId="83" fillId="33" borderId="12" xfId="0" applyNumberFormat="1" applyFont="1" applyFill="1" applyBorder="1" applyAlignment="1">
      <alignment horizontal="center" vertical="center"/>
    </xf>
    <xf numFmtId="1" fontId="77" fillId="0" borderId="0" xfId="0" applyNumberFormat="1" applyFont="1" applyFill="1" applyAlignment="1">
      <alignment/>
    </xf>
    <xf numFmtId="0" fontId="75" fillId="0" borderId="21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left" vertical="top" wrapText="1"/>
    </xf>
    <xf numFmtId="0" fontId="75" fillId="0" borderId="21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top" wrapText="1"/>
    </xf>
    <xf numFmtId="0" fontId="83" fillId="33" borderId="12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vertical="top"/>
    </xf>
    <xf numFmtId="0" fontId="82" fillId="33" borderId="13" xfId="0" applyFont="1" applyFill="1" applyBorder="1" applyAlignment="1">
      <alignment horizontal="center" vertical="center"/>
    </xf>
    <xf numFmtId="1" fontId="85" fillId="33" borderId="23" xfId="0" applyNumberFormat="1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49" fontId="85" fillId="33" borderId="24" xfId="0" applyNumberFormat="1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49" fontId="83" fillId="33" borderId="19" xfId="0" applyNumberFormat="1" applyFont="1" applyFill="1" applyBorder="1" applyAlignment="1">
      <alignment horizontal="center" vertical="center"/>
    </xf>
    <xf numFmtId="49" fontId="83" fillId="33" borderId="24" xfId="0" applyNumberFormat="1" applyFont="1" applyFill="1" applyBorder="1" applyAlignment="1">
      <alignment horizontal="center" vertical="center"/>
    </xf>
    <xf numFmtId="1" fontId="83" fillId="33" borderId="10" xfId="0" applyNumberFormat="1" applyFont="1" applyFill="1" applyBorder="1" applyAlignment="1">
      <alignment horizontal="center" vertical="center"/>
    </xf>
    <xf numFmtId="49" fontId="85" fillId="33" borderId="19" xfId="0" applyNumberFormat="1" applyFont="1" applyFill="1" applyBorder="1" applyAlignment="1">
      <alignment horizontal="center" vertical="center"/>
    </xf>
    <xf numFmtId="1" fontId="83" fillId="33" borderId="12" xfId="0" applyNumberFormat="1" applyFont="1" applyFill="1" applyBorder="1" applyAlignment="1">
      <alignment horizontal="center" vertical="center"/>
    </xf>
    <xf numFmtId="0" fontId="83" fillId="33" borderId="27" xfId="0" applyFont="1" applyFill="1" applyBorder="1" applyAlignment="1">
      <alignment horizontal="center" vertical="center"/>
    </xf>
    <xf numFmtId="0" fontId="84" fillId="33" borderId="19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20" xfId="0" applyFont="1" applyFill="1" applyBorder="1" applyAlignment="1">
      <alignment/>
    </xf>
    <xf numFmtId="0" fontId="84" fillId="33" borderId="20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/>
    </xf>
    <xf numFmtId="0" fontId="83" fillId="33" borderId="29" xfId="0" applyFont="1" applyFill="1" applyBorder="1" applyAlignment="1">
      <alignment horizontal="center" vertical="center"/>
    </xf>
    <xf numFmtId="0" fontId="83" fillId="33" borderId="30" xfId="0" applyFont="1" applyFill="1" applyBorder="1" applyAlignment="1">
      <alignment horizontal="center" vertical="center"/>
    </xf>
    <xf numFmtId="1" fontId="83" fillId="33" borderId="27" xfId="0" applyNumberFormat="1" applyFont="1" applyFill="1" applyBorder="1" applyAlignment="1">
      <alignment horizontal="center" vertical="center"/>
    </xf>
    <xf numFmtId="49" fontId="83" fillId="33" borderId="31" xfId="0" applyNumberFormat="1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75" fillId="33" borderId="0" xfId="0" applyFont="1" applyFill="1" applyAlignment="1">
      <alignment horizontal="left" vertical="top" wrapText="1"/>
    </xf>
    <xf numFmtId="0" fontId="75" fillId="33" borderId="0" xfId="0" applyFont="1" applyFill="1" applyAlignment="1">
      <alignment horizontal="center" vertical="top" wrapText="1"/>
    </xf>
    <xf numFmtId="0" fontId="75" fillId="33" borderId="0" xfId="0" applyFont="1" applyFill="1" applyBorder="1" applyAlignment="1">
      <alignment horizontal="left" vertical="top" wrapText="1"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vertical="top" wrapText="1"/>
    </xf>
    <xf numFmtId="0" fontId="75" fillId="33" borderId="21" xfId="0" applyFont="1" applyFill="1" applyBorder="1" applyAlignment="1">
      <alignment horizontal="center" vertical="top" wrapText="1"/>
    </xf>
    <xf numFmtId="0" fontId="79" fillId="33" borderId="0" xfId="0" applyFont="1" applyFill="1" applyBorder="1" applyAlignment="1">
      <alignment vertical="top"/>
    </xf>
    <xf numFmtId="0" fontId="79" fillId="33" borderId="0" xfId="0" applyFont="1" applyFill="1" applyAlignment="1">
      <alignment vertical="top"/>
    </xf>
    <xf numFmtId="0" fontId="79" fillId="33" borderId="22" xfId="0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1" fontId="85" fillId="33" borderId="32" xfId="0" applyNumberFormat="1" applyFont="1" applyFill="1" applyBorder="1" applyAlignment="1">
      <alignment horizontal="center" vertical="center"/>
    </xf>
    <xf numFmtId="1" fontId="85" fillId="33" borderId="10" xfId="0" applyNumberFormat="1" applyFont="1" applyFill="1" applyBorder="1" applyAlignment="1">
      <alignment horizontal="center" vertical="center"/>
    </xf>
    <xf numFmtId="1" fontId="85" fillId="33" borderId="20" xfId="0" applyNumberFormat="1" applyFont="1" applyFill="1" applyBorder="1" applyAlignment="1">
      <alignment horizontal="center" vertical="center"/>
    </xf>
    <xf numFmtId="49" fontId="82" fillId="33" borderId="13" xfId="0" applyNumberFormat="1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3" fillId="33" borderId="3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1" fontId="85" fillId="33" borderId="15" xfId="0" applyNumberFormat="1" applyFont="1" applyFill="1" applyBorder="1" applyAlignment="1">
      <alignment horizontal="center" vertical="center"/>
    </xf>
    <xf numFmtId="0" fontId="83" fillId="33" borderId="36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5" fillId="33" borderId="36" xfId="0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3" fillId="33" borderId="38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1" fontId="85" fillId="33" borderId="39" xfId="0" applyNumberFormat="1" applyFont="1" applyFill="1" applyBorder="1" applyAlignment="1">
      <alignment horizontal="center" vertical="center"/>
    </xf>
    <xf numFmtId="0" fontId="83" fillId="33" borderId="40" xfId="0" applyFont="1" applyFill="1" applyBorder="1" applyAlignment="1">
      <alignment horizontal="center" vertical="center"/>
    </xf>
    <xf numFmtId="0" fontId="83" fillId="33" borderId="41" xfId="0" applyFont="1" applyFill="1" applyBorder="1" applyAlignment="1">
      <alignment horizontal="center" vertical="center"/>
    </xf>
    <xf numFmtId="180" fontId="85" fillId="33" borderId="0" xfId="0" applyNumberFormat="1" applyFont="1" applyFill="1" applyBorder="1" applyAlignment="1">
      <alignment horizontal="center" vertical="center"/>
    </xf>
    <xf numFmtId="1" fontId="85" fillId="33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5" fillId="0" borderId="32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12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49" fontId="83" fillId="33" borderId="28" xfId="0" applyNumberFormat="1" applyFont="1" applyFill="1" applyBorder="1" applyAlignment="1">
      <alignment horizontal="center" vertical="center"/>
    </xf>
    <xf numFmtId="49" fontId="83" fillId="33" borderId="24" xfId="0" applyNumberFormat="1" applyFont="1" applyFill="1" applyBorder="1" applyAlignment="1">
      <alignment horizontal="center" vertical="center"/>
    </xf>
    <xf numFmtId="1" fontId="9" fillId="33" borderId="32" xfId="0" applyNumberFormat="1" applyFont="1" applyFill="1" applyBorder="1" applyAlignment="1">
      <alignment horizontal="center" vertical="center"/>
    </xf>
    <xf numFmtId="1" fontId="9" fillId="33" borderId="27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4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49" fontId="75" fillId="0" borderId="32" xfId="0" applyNumberFormat="1" applyFont="1" applyFill="1" applyBorder="1" applyAlignment="1">
      <alignment horizontal="center" vertical="center" wrapText="1"/>
    </xf>
    <xf numFmtId="49" fontId="75" fillId="0" borderId="42" xfId="0" applyNumberFormat="1" applyFont="1" applyFill="1" applyBorder="1" applyAlignment="1">
      <alignment horizontal="center" vertical="center" wrapText="1"/>
    </xf>
    <xf numFmtId="49" fontId="75" fillId="0" borderId="43" xfId="0" applyNumberFormat="1" applyFont="1" applyFill="1" applyBorder="1" applyAlignment="1">
      <alignment horizontal="center" vertical="center" wrapText="1"/>
    </xf>
    <xf numFmtId="0" fontId="83" fillId="33" borderId="42" xfId="0" applyFont="1" applyFill="1" applyBorder="1" applyAlignment="1">
      <alignment horizontal="center" vertical="center"/>
    </xf>
    <xf numFmtId="0" fontId="83" fillId="33" borderId="27" xfId="0" applyFont="1" applyFill="1" applyBorder="1" applyAlignment="1">
      <alignment horizontal="center" vertical="center"/>
    </xf>
    <xf numFmtId="0" fontId="83" fillId="33" borderId="44" xfId="0" applyFont="1" applyFill="1" applyBorder="1" applyAlignment="1">
      <alignment horizontal="left" vertical="center" wrapText="1"/>
    </xf>
    <xf numFmtId="0" fontId="83" fillId="33" borderId="22" xfId="0" applyFont="1" applyFill="1" applyBorder="1" applyAlignment="1">
      <alignment horizontal="left" vertical="center" wrapText="1"/>
    </xf>
    <xf numFmtId="0" fontId="83" fillId="33" borderId="50" xfId="0" applyFont="1" applyFill="1" applyBorder="1" applyAlignment="1">
      <alignment horizontal="left" vertical="center" wrapText="1"/>
    </xf>
    <xf numFmtId="0" fontId="83" fillId="33" borderId="35" xfId="0" applyFont="1" applyFill="1" applyBorder="1" applyAlignment="1">
      <alignment horizontal="left" vertical="center" wrapText="1"/>
    </xf>
    <xf numFmtId="0" fontId="83" fillId="33" borderId="21" xfId="0" applyFont="1" applyFill="1" applyBorder="1" applyAlignment="1">
      <alignment horizontal="left" vertical="center" wrapText="1"/>
    </xf>
    <xf numFmtId="0" fontId="83" fillId="33" borderId="51" xfId="0" applyFont="1" applyFill="1" applyBorder="1" applyAlignment="1">
      <alignment horizontal="left" vertical="center" wrapText="1"/>
    </xf>
    <xf numFmtId="1" fontId="83" fillId="33" borderId="12" xfId="0" applyNumberFormat="1" applyFont="1" applyFill="1" applyBorder="1" applyAlignment="1">
      <alignment horizontal="center" vertical="center"/>
    </xf>
    <xf numFmtId="1" fontId="83" fillId="33" borderId="27" xfId="0" applyNumberFormat="1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1" fontId="83" fillId="33" borderId="32" xfId="0" applyNumberFormat="1" applyFont="1" applyFill="1" applyBorder="1" applyAlignment="1">
      <alignment horizontal="center" vertical="center"/>
    </xf>
    <xf numFmtId="1" fontId="83" fillId="33" borderId="43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83" fillId="33" borderId="12" xfId="0" applyFont="1" applyFill="1" applyBorder="1" applyAlignment="1">
      <alignment horizontal="left" vertical="center" wrapText="1"/>
    </xf>
    <xf numFmtId="0" fontId="84" fillId="33" borderId="42" xfId="0" applyFont="1" applyFill="1" applyBorder="1" applyAlignment="1">
      <alignment horizontal="left" vertical="center" wrapText="1"/>
    </xf>
    <xf numFmtId="0" fontId="84" fillId="33" borderId="27" xfId="0" applyFont="1" applyFill="1" applyBorder="1" applyAlignment="1">
      <alignment horizontal="left" vertical="center" wrapText="1"/>
    </xf>
    <xf numFmtId="0" fontId="83" fillId="33" borderId="32" xfId="0" applyFont="1" applyFill="1" applyBorder="1" applyAlignment="1">
      <alignment horizontal="center" vertical="center" wrapText="1"/>
    </xf>
    <xf numFmtId="0" fontId="83" fillId="33" borderId="42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horizontal="center" vertical="center" wrapText="1"/>
    </xf>
    <xf numFmtId="0" fontId="83" fillId="33" borderId="44" xfId="0" applyFont="1" applyFill="1" applyBorder="1" applyAlignment="1">
      <alignment vertical="center" wrapText="1"/>
    </xf>
    <xf numFmtId="0" fontId="83" fillId="33" borderId="22" xfId="0" applyFont="1" applyFill="1" applyBorder="1" applyAlignment="1">
      <alignment vertical="center" wrapText="1"/>
    </xf>
    <xf numFmtId="0" fontId="83" fillId="33" borderId="50" xfId="0" applyFont="1" applyFill="1" applyBorder="1" applyAlignment="1">
      <alignment vertical="center" wrapText="1"/>
    </xf>
    <xf numFmtId="0" fontId="83" fillId="33" borderId="35" xfId="0" applyFont="1" applyFill="1" applyBorder="1" applyAlignment="1">
      <alignment vertical="center" wrapText="1"/>
    </xf>
    <xf numFmtId="0" fontId="83" fillId="33" borderId="21" xfId="0" applyFont="1" applyFill="1" applyBorder="1" applyAlignment="1">
      <alignment vertical="center" wrapText="1"/>
    </xf>
    <xf numFmtId="0" fontId="83" fillId="33" borderId="51" xfId="0" applyFont="1" applyFill="1" applyBorder="1" applyAlignment="1">
      <alignment vertical="center" wrapText="1"/>
    </xf>
    <xf numFmtId="1" fontId="83" fillId="33" borderId="35" xfId="0" applyNumberFormat="1" applyFont="1" applyFill="1" applyBorder="1" applyAlignment="1">
      <alignment horizontal="center" vertical="center"/>
    </xf>
    <xf numFmtId="1" fontId="83" fillId="33" borderId="51" xfId="0" applyNumberFormat="1" applyFont="1" applyFill="1" applyBorder="1" applyAlignment="1">
      <alignment horizontal="center" vertical="center"/>
    </xf>
    <xf numFmtId="1" fontId="9" fillId="33" borderId="42" xfId="0" applyNumberFormat="1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vertical="center" wrapText="1"/>
    </xf>
    <xf numFmtId="0" fontId="83" fillId="33" borderId="42" xfId="0" applyFont="1" applyFill="1" applyBorder="1" applyAlignment="1">
      <alignment vertical="center" wrapText="1"/>
    </xf>
    <xf numFmtId="0" fontId="83" fillId="33" borderId="43" xfId="0" applyFont="1" applyFill="1" applyBorder="1" applyAlignment="1">
      <alignment vertical="center" wrapText="1"/>
    </xf>
    <xf numFmtId="0" fontId="85" fillId="33" borderId="12" xfId="0" applyFont="1" applyFill="1" applyBorder="1" applyAlignment="1">
      <alignment horizontal="center" vertical="center"/>
    </xf>
    <xf numFmtId="0" fontId="85" fillId="33" borderId="43" xfId="0" applyFont="1" applyFill="1" applyBorder="1" applyAlignment="1">
      <alignment horizontal="center" vertical="center"/>
    </xf>
    <xf numFmtId="49" fontId="83" fillId="33" borderId="3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83" fillId="33" borderId="5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42" xfId="0" applyNumberFormat="1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 textRotation="90"/>
    </xf>
    <xf numFmtId="0" fontId="83" fillId="0" borderId="37" xfId="0" applyFont="1" applyFill="1" applyBorder="1" applyAlignment="1">
      <alignment horizontal="center" vertical="center" textRotation="90"/>
    </xf>
    <xf numFmtId="0" fontId="83" fillId="0" borderId="46" xfId="0" applyFont="1" applyFill="1" applyBorder="1" applyAlignment="1">
      <alignment horizontal="center" vertical="center" textRotation="90"/>
    </xf>
    <xf numFmtId="0" fontId="83" fillId="0" borderId="47" xfId="0" applyFont="1" applyFill="1" applyBorder="1" applyAlignment="1">
      <alignment horizontal="center" vertical="center" textRotation="90"/>
    </xf>
    <xf numFmtId="0" fontId="83" fillId="0" borderId="38" xfId="0" applyFont="1" applyFill="1" applyBorder="1" applyAlignment="1">
      <alignment horizontal="center" vertical="center" textRotation="90"/>
    </xf>
    <xf numFmtId="0" fontId="83" fillId="0" borderId="39" xfId="0" applyFont="1" applyFill="1" applyBorder="1" applyAlignment="1">
      <alignment horizontal="center" vertical="center" textRotation="90"/>
    </xf>
    <xf numFmtId="0" fontId="83" fillId="0" borderId="49" xfId="0" applyFont="1" applyFill="1" applyBorder="1" applyAlignment="1">
      <alignment horizontal="center" vertical="center" textRotation="90"/>
    </xf>
    <xf numFmtId="0" fontId="83" fillId="0" borderId="52" xfId="0" applyFont="1" applyFill="1" applyBorder="1" applyAlignment="1">
      <alignment horizontal="center" vertical="center" textRotation="90"/>
    </xf>
    <xf numFmtId="0" fontId="85" fillId="33" borderId="53" xfId="0" applyFont="1" applyFill="1" applyBorder="1" applyAlignment="1">
      <alignment horizontal="center" vertical="center"/>
    </xf>
    <xf numFmtId="0" fontId="85" fillId="33" borderId="54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49" fontId="75" fillId="0" borderId="56" xfId="0" applyNumberFormat="1" applyFont="1" applyFill="1" applyBorder="1" applyAlignment="1">
      <alignment horizontal="left" vertical="center" wrapText="1"/>
    </xf>
    <xf numFmtId="49" fontId="75" fillId="0" borderId="21" xfId="0" applyNumberFormat="1" applyFont="1" applyFill="1" applyBorder="1" applyAlignment="1">
      <alignment horizontal="left" vertical="center" wrapText="1"/>
    </xf>
    <xf numFmtId="49" fontId="75" fillId="0" borderId="35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5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justify" wrapText="1"/>
    </xf>
    <xf numFmtId="0" fontId="83" fillId="0" borderId="10" xfId="0" applyFont="1" applyFill="1" applyBorder="1" applyAlignment="1">
      <alignment horizontal="center" vertical="center" textRotation="90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/>
    </xf>
    <xf numFmtId="0" fontId="83" fillId="0" borderId="12" xfId="0" applyFont="1" applyFill="1" applyBorder="1" applyAlignment="1">
      <alignment horizontal="center" vertical="center"/>
    </xf>
    <xf numFmtId="0" fontId="85" fillId="0" borderId="57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49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 textRotation="90"/>
    </xf>
    <xf numFmtId="0" fontId="83" fillId="0" borderId="59" xfId="0" applyFont="1" applyFill="1" applyBorder="1" applyAlignment="1">
      <alignment horizontal="center" vertical="center" textRotation="90"/>
    </xf>
    <xf numFmtId="0" fontId="83" fillId="0" borderId="40" xfId="0" applyFont="1" applyFill="1" applyBorder="1" applyAlignment="1">
      <alignment horizontal="center" vertical="center" textRotation="90"/>
    </xf>
    <xf numFmtId="0" fontId="83" fillId="0" borderId="0" xfId="0" applyFont="1" applyFill="1" applyBorder="1" applyAlignment="1">
      <alignment horizontal="center" vertical="center" textRotation="90"/>
    </xf>
    <xf numFmtId="0" fontId="83" fillId="0" borderId="11" xfId="0" applyFont="1" applyFill="1" applyBorder="1" applyAlignment="1">
      <alignment horizontal="center" vertical="center" textRotation="90"/>
    </xf>
    <xf numFmtId="0" fontId="85" fillId="0" borderId="23" xfId="0" applyFont="1" applyFill="1" applyBorder="1" applyAlignment="1">
      <alignment horizontal="center" vertical="center"/>
    </xf>
    <xf numFmtId="0" fontId="85" fillId="0" borderId="60" xfId="0" applyFont="1" applyFill="1" applyBorder="1" applyAlignment="1">
      <alignment horizontal="center" vertical="center"/>
    </xf>
    <xf numFmtId="0" fontId="85" fillId="0" borderId="61" xfId="0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63" xfId="0" applyFont="1" applyFill="1" applyBorder="1" applyAlignment="1">
      <alignment horizontal="center" vertical="center" textRotation="90"/>
    </xf>
    <xf numFmtId="0" fontId="85" fillId="0" borderId="34" xfId="0" applyFont="1" applyFill="1" applyBorder="1" applyAlignment="1">
      <alignment horizontal="center" vertical="center" textRotation="90"/>
    </xf>
    <xf numFmtId="0" fontId="85" fillId="0" borderId="19" xfId="0" applyFont="1" applyFill="1" applyBorder="1" applyAlignment="1">
      <alignment horizontal="center" vertical="center" textRotation="90"/>
    </xf>
    <xf numFmtId="0" fontId="85" fillId="0" borderId="20" xfId="0" applyFont="1" applyFill="1" applyBorder="1" applyAlignment="1">
      <alignment horizontal="center" vertical="center" textRotation="90"/>
    </xf>
    <xf numFmtId="0" fontId="85" fillId="0" borderId="64" xfId="0" applyFont="1" applyFill="1" applyBorder="1" applyAlignment="1">
      <alignment horizontal="center" vertical="center" textRotation="90"/>
    </xf>
    <xf numFmtId="0" fontId="85" fillId="0" borderId="65" xfId="0" applyFont="1" applyFill="1" applyBorder="1" applyAlignment="1">
      <alignment horizontal="center" vertical="center" textRotation="90"/>
    </xf>
    <xf numFmtId="0" fontId="85" fillId="0" borderId="62" xfId="0" applyFont="1" applyFill="1" applyBorder="1" applyAlignment="1">
      <alignment horizontal="center" vertical="center" textRotation="90"/>
    </xf>
    <xf numFmtId="0" fontId="85" fillId="0" borderId="40" xfId="0" applyFont="1" applyFill="1" applyBorder="1" applyAlignment="1">
      <alignment horizontal="center" vertical="center" textRotation="90"/>
    </xf>
    <xf numFmtId="0" fontId="85" fillId="0" borderId="41" xfId="0" applyFont="1" applyFill="1" applyBorder="1" applyAlignment="1">
      <alignment horizontal="center" vertical="center" textRotation="90"/>
    </xf>
    <xf numFmtId="0" fontId="85" fillId="0" borderId="36" xfId="0" applyFont="1" applyFill="1" applyBorder="1" applyAlignment="1">
      <alignment horizontal="center" vertical="center" textRotation="90"/>
    </xf>
    <xf numFmtId="0" fontId="85" fillId="0" borderId="0" xfId="0" applyFont="1" applyFill="1" applyBorder="1" applyAlignment="1">
      <alignment horizontal="center" vertical="center" textRotation="90"/>
    </xf>
    <xf numFmtId="0" fontId="85" fillId="0" borderId="39" xfId="0" applyFont="1" applyFill="1" applyBorder="1" applyAlignment="1">
      <alignment horizontal="center" vertical="center" textRotation="90"/>
    </xf>
    <xf numFmtId="0" fontId="85" fillId="0" borderId="46" xfId="0" applyFont="1" applyFill="1" applyBorder="1" applyAlignment="1">
      <alignment horizontal="center" vertical="center" textRotation="90"/>
    </xf>
    <xf numFmtId="0" fontId="85" fillId="0" borderId="11" xfId="0" applyFont="1" applyFill="1" applyBorder="1" applyAlignment="1">
      <alignment horizontal="center" vertical="center" textRotation="90"/>
    </xf>
    <xf numFmtId="0" fontId="85" fillId="0" borderId="52" xfId="0" applyFont="1" applyFill="1" applyBorder="1" applyAlignment="1">
      <alignment horizontal="center" vertical="center" textRotation="90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55" xfId="0" applyFont="1" applyFill="1" applyBorder="1" applyAlignment="1">
      <alignment horizontal="center" vertical="center" textRotation="90"/>
    </xf>
    <xf numFmtId="0" fontId="83" fillId="0" borderId="25" xfId="0" applyFont="1" applyFill="1" applyBorder="1" applyAlignment="1">
      <alignment horizontal="center" vertical="center" textRotation="90"/>
    </xf>
    <xf numFmtId="0" fontId="85" fillId="33" borderId="66" xfId="0" applyFont="1" applyFill="1" applyBorder="1" applyAlignment="1">
      <alignment horizontal="left" vertical="center" wrapText="1"/>
    </xf>
    <xf numFmtId="0" fontId="85" fillId="33" borderId="60" xfId="0" applyFont="1" applyFill="1" applyBorder="1" applyAlignment="1">
      <alignment horizontal="left" vertical="center"/>
    </xf>
    <xf numFmtId="0" fontId="85" fillId="33" borderId="67" xfId="0" applyFont="1" applyFill="1" applyBorder="1" applyAlignment="1">
      <alignment horizontal="left" vertical="center"/>
    </xf>
    <xf numFmtId="0" fontId="79" fillId="33" borderId="66" xfId="0" applyFont="1" applyFill="1" applyBorder="1" applyAlignment="1">
      <alignment horizontal="center" vertical="center"/>
    </xf>
    <xf numFmtId="0" fontId="79" fillId="33" borderId="67" xfId="0" applyFont="1" applyFill="1" applyBorder="1" applyAlignment="1">
      <alignment horizontal="center" vertical="center"/>
    </xf>
    <xf numFmtId="0" fontId="79" fillId="33" borderId="60" xfId="0" applyFont="1" applyFill="1" applyBorder="1" applyAlignment="1">
      <alignment horizontal="center" vertical="center"/>
    </xf>
    <xf numFmtId="1" fontId="85" fillId="33" borderId="23" xfId="0" applyNumberFormat="1" applyFont="1" applyFill="1" applyBorder="1" applyAlignment="1">
      <alignment horizontal="center" vertical="center"/>
    </xf>
    <xf numFmtId="0" fontId="85" fillId="33" borderId="60" xfId="0" applyFont="1" applyFill="1" applyBorder="1" applyAlignment="1">
      <alignment horizontal="center" vertical="center"/>
    </xf>
    <xf numFmtId="1" fontId="85" fillId="33" borderId="66" xfId="0" applyNumberFormat="1" applyFont="1" applyFill="1" applyBorder="1" applyAlignment="1">
      <alignment horizontal="center" vertical="center"/>
    </xf>
    <xf numFmtId="0" fontId="85" fillId="33" borderId="61" xfId="0" applyFont="1" applyFill="1" applyBorder="1" applyAlignment="1">
      <alignment horizontal="center" vertical="center"/>
    </xf>
    <xf numFmtId="0" fontId="85" fillId="33" borderId="67" xfId="0" applyFont="1" applyFill="1" applyBorder="1" applyAlignment="1">
      <alignment horizontal="center" vertical="center"/>
    </xf>
    <xf numFmtId="1" fontId="85" fillId="33" borderId="13" xfId="0" applyNumberFormat="1" applyFont="1" applyFill="1" applyBorder="1" applyAlignment="1">
      <alignment horizontal="center" vertical="center"/>
    </xf>
    <xf numFmtId="1" fontId="85" fillId="33" borderId="15" xfId="0" applyNumberFormat="1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left"/>
    </xf>
    <xf numFmtId="0" fontId="83" fillId="33" borderId="32" xfId="0" applyFont="1" applyFill="1" applyBorder="1" applyAlignment="1">
      <alignment horizontal="left" vertical="center" wrapText="1"/>
    </xf>
    <xf numFmtId="0" fontId="83" fillId="33" borderId="42" xfId="0" applyFont="1" applyFill="1" applyBorder="1" applyAlignment="1">
      <alignment horizontal="left" vertical="center" wrapText="1"/>
    </xf>
    <xf numFmtId="0" fontId="83" fillId="33" borderId="43" xfId="0" applyFont="1" applyFill="1" applyBorder="1" applyAlignment="1">
      <alignment horizontal="left" vertical="center" wrapText="1"/>
    </xf>
    <xf numFmtId="0" fontId="85" fillId="33" borderId="53" xfId="0" applyFont="1" applyFill="1" applyBorder="1" applyAlignment="1">
      <alignment horizontal="left" vertical="center" wrapText="1"/>
    </xf>
    <xf numFmtId="0" fontId="85" fillId="33" borderId="68" xfId="0" applyFont="1" applyFill="1" applyBorder="1" applyAlignment="1">
      <alignment horizontal="left" vertical="center" wrapText="1"/>
    </xf>
    <xf numFmtId="0" fontId="85" fillId="33" borderId="69" xfId="0" applyFont="1" applyFill="1" applyBorder="1" applyAlignment="1">
      <alignment horizontal="left" vertical="center" wrapText="1"/>
    </xf>
    <xf numFmtId="0" fontId="91" fillId="33" borderId="12" xfId="0" applyFont="1" applyFill="1" applyBorder="1" applyAlignment="1">
      <alignment horizontal="center" vertical="center"/>
    </xf>
    <xf numFmtId="0" fontId="91" fillId="33" borderId="27" xfId="0" applyFont="1" applyFill="1" applyBorder="1" applyAlignment="1">
      <alignment horizontal="center" vertical="center"/>
    </xf>
    <xf numFmtId="0" fontId="91" fillId="33" borderId="42" xfId="0" applyFont="1" applyFill="1" applyBorder="1" applyAlignment="1">
      <alignment horizontal="center" vertical="center"/>
    </xf>
    <xf numFmtId="0" fontId="85" fillId="33" borderId="32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85" fillId="33" borderId="69" xfId="0" applyFont="1" applyFill="1" applyBorder="1" applyAlignment="1">
      <alignment horizontal="center" vertical="center"/>
    </xf>
    <xf numFmtId="0" fontId="85" fillId="33" borderId="27" xfId="0" applyFont="1" applyFill="1" applyBorder="1" applyAlignment="1">
      <alignment horizontal="center" vertical="center"/>
    </xf>
    <xf numFmtId="0" fontId="83" fillId="33" borderId="70" xfId="0" applyFont="1" applyFill="1" applyBorder="1" applyAlignment="1">
      <alignment horizontal="left" vertical="center" wrapText="1"/>
    </xf>
    <xf numFmtId="0" fontId="83" fillId="33" borderId="68" xfId="0" applyFont="1" applyFill="1" applyBorder="1" applyAlignment="1">
      <alignment horizontal="left" vertical="center" wrapText="1"/>
    </xf>
    <xf numFmtId="0" fontId="83" fillId="33" borderId="54" xfId="0" applyFont="1" applyFill="1" applyBorder="1" applyAlignment="1">
      <alignment horizontal="left" vertical="center" wrapText="1"/>
    </xf>
    <xf numFmtId="0" fontId="83" fillId="33" borderId="27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left" vertical="center" wrapText="1"/>
    </xf>
    <xf numFmtId="0" fontId="85" fillId="33" borderId="42" xfId="0" applyFont="1" applyFill="1" applyBorder="1" applyAlignment="1">
      <alignment horizontal="left" vertical="center" wrapText="1"/>
    </xf>
    <xf numFmtId="0" fontId="85" fillId="33" borderId="27" xfId="0" applyFont="1" applyFill="1" applyBorder="1" applyAlignment="1">
      <alignment horizontal="left" vertical="center" wrapText="1"/>
    </xf>
    <xf numFmtId="0" fontId="91" fillId="33" borderId="12" xfId="0" applyFont="1" applyFill="1" applyBorder="1" applyAlignment="1">
      <alignment horizontal="center" vertical="center" wrapText="1"/>
    </xf>
    <xf numFmtId="0" fontId="91" fillId="33" borderId="27" xfId="0" applyFont="1" applyFill="1" applyBorder="1" applyAlignment="1">
      <alignment horizontal="center" vertical="center" wrapText="1"/>
    </xf>
    <xf numFmtId="1" fontId="83" fillId="33" borderId="42" xfId="0" applyNumberFormat="1" applyFont="1" applyFill="1" applyBorder="1" applyAlignment="1">
      <alignment horizontal="center" vertical="center"/>
    </xf>
    <xf numFmtId="0" fontId="92" fillId="33" borderId="42" xfId="0" applyFont="1" applyFill="1" applyBorder="1" applyAlignment="1">
      <alignment horizontal="center" vertical="center"/>
    </xf>
    <xf numFmtId="0" fontId="92" fillId="33" borderId="27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/>
    </xf>
    <xf numFmtId="0" fontId="9" fillId="33" borderId="42" xfId="0" applyFont="1" applyFill="1" applyBorder="1" applyAlignment="1">
      <alignment horizontal="left" vertical="top"/>
    </xf>
    <xf numFmtId="0" fontId="9" fillId="33" borderId="27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 wrapText="1"/>
    </xf>
    <xf numFmtId="0" fontId="9" fillId="33" borderId="42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1" fontId="7" fillId="33" borderId="66" xfId="0" applyNumberFormat="1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top" wrapText="1"/>
    </xf>
    <xf numFmtId="0" fontId="75" fillId="33" borderId="21" xfId="0" applyFont="1" applyFill="1" applyBorder="1" applyAlignment="1">
      <alignment horizontal="center" wrapText="1"/>
    </xf>
    <xf numFmtId="0" fontId="79" fillId="33" borderId="22" xfId="0" applyFont="1" applyFill="1" applyBorder="1" applyAlignment="1">
      <alignment horizontal="center" vertical="top"/>
    </xf>
    <xf numFmtId="0" fontId="79" fillId="33" borderId="70" xfId="0" applyFont="1" applyFill="1" applyBorder="1" applyAlignment="1">
      <alignment vertical="center" wrapText="1"/>
    </xf>
    <xf numFmtId="0" fontId="79" fillId="33" borderId="68" xfId="0" applyFont="1" applyFill="1" applyBorder="1" applyAlignment="1">
      <alignment vertical="center" wrapText="1"/>
    </xf>
    <xf numFmtId="0" fontId="79" fillId="33" borderId="54" xfId="0" applyFont="1" applyFill="1" applyBorder="1" applyAlignment="1">
      <alignment vertical="center" wrapText="1"/>
    </xf>
    <xf numFmtId="0" fontId="79" fillId="0" borderId="0" xfId="0" applyFont="1" applyFill="1" applyAlignment="1">
      <alignment horizontal="left"/>
    </xf>
    <xf numFmtId="0" fontId="7" fillId="33" borderId="12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1" fontId="92" fillId="33" borderId="42" xfId="0" applyNumberFormat="1" applyFont="1" applyFill="1" applyBorder="1" applyAlignment="1">
      <alignment horizontal="center" vertical="center"/>
    </xf>
    <xf numFmtId="0" fontId="85" fillId="33" borderId="66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left" vertical="center" wrapText="1"/>
    </xf>
    <xf numFmtId="0" fontId="83" fillId="33" borderId="60" xfId="0" applyFont="1" applyFill="1" applyBorder="1" applyAlignment="1">
      <alignment horizontal="left" vertical="center" wrapText="1"/>
    </xf>
    <xf numFmtId="0" fontId="83" fillId="33" borderId="61" xfId="0" applyFont="1" applyFill="1" applyBorder="1" applyAlignment="1">
      <alignment horizontal="left" vertical="center" wrapText="1"/>
    </xf>
    <xf numFmtId="0" fontId="85" fillId="33" borderId="66" xfId="0" applyFont="1" applyFill="1" applyBorder="1" applyAlignment="1">
      <alignment horizontal="center" vertical="center" wrapText="1"/>
    </xf>
    <xf numFmtId="0" fontId="85" fillId="33" borderId="60" xfId="0" applyFont="1" applyFill="1" applyBorder="1" applyAlignment="1">
      <alignment horizontal="center" vertical="center" wrapText="1"/>
    </xf>
    <xf numFmtId="0" fontId="85" fillId="33" borderId="67" xfId="0" applyFont="1" applyFill="1" applyBorder="1" applyAlignment="1">
      <alignment horizontal="center" vertical="center" wrapText="1"/>
    </xf>
    <xf numFmtId="0" fontId="83" fillId="33" borderId="35" xfId="0" applyFont="1" applyFill="1" applyBorder="1" applyAlignment="1">
      <alignment horizontal="center"/>
    </xf>
    <xf numFmtId="0" fontId="83" fillId="33" borderId="51" xfId="0" applyFont="1" applyFill="1" applyBorder="1" applyAlignment="1">
      <alignment horizontal="center"/>
    </xf>
    <xf numFmtId="0" fontId="83" fillId="33" borderId="66" xfId="0" applyFont="1" applyFill="1" applyBorder="1" applyAlignment="1">
      <alignment horizontal="center" vertical="center"/>
    </xf>
    <xf numFmtId="0" fontId="83" fillId="33" borderId="60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/>
    </xf>
    <xf numFmtId="0" fontId="83" fillId="33" borderId="15" xfId="0" applyFont="1" applyFill="1" applyBorder="1" applyAlignment="1">
      <alignment horizontal="center"/>
    </xf>
    <xf numFmtId="1" fontId="85" fillId="33" borderId="32" xfId="0" applyNumberFormat="1" applyFont="1" applyFill="1" applyBorder="1" applyAlignment="1">
      <alignment horizontal="center" vertical="center"/>
    </xf>
    <xf numFmtId="1" fontId="85" fillId="33" borderId="4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83" fillId="33" borderId="46" xfId="0" applyFont="1" applyFill="1" applyBorder="1" applyAlignment="1">
      <alignment horizontal="left" vertical="center" wrapText="1"/>
    </xf>
    <xf numFmtId="0" fontId="83" fillId="33" borderId="11" xfId="0" applyFont="1" applyFill="1" applyBorder="1" applyAlignment="1">
      <alignment horizontal="left" vertical="center" wrapText="1"/>
    </xf>
    <xf numFmtId="0" fontId="83" fillId="33" borderId="52" xfId="0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left" vertical="center"/>
    </xf>
    <xf numFmtId="0" fontId="9" fillId="33" borderId="68" xfId="0" applyFont="1" applyFill="1" applyBorder="1" applyAlignment="1">
      <alignment horizontal="left" vertical="center"/>
    </xf>
    <xf numFmtId="0" fontId="9" fillId="33" borderId="69" xfId="0" applyFont="1" applyFill="1" applyBorder="1" applyAlignment="1">
      <alignment horizontal="left" vertical="center"/>
    </xf>
    <xf numFmtId="0" fontId="83" fillId="33" borderId="53" xfId="0" applyFont="1" applyFill="1" applyBorder="1" applyAlignment="1">
      <alignment horizontal="center" vertical="center"/>
    </xf>
    <xf numFmtId="0" fontId="83" fillId="33" borderId="54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left" vertical="center"/>
    </xf>
    <xf numFmtId="0" fontId="83" fillId="33" borderId="14" xfId="0" applyFont="1" applyFill="1" applyBorder="1" applyAlignment="1">
      <alignment horizontal="left" vertical="center"/>
    </xf>
    <xf numFmtId="0" fontId="83" fillId="33" borderId="66" xfId="0" applyFont="1" applyFill="1" applyBorder="1" applyAlignment="1">
      <alignment horizontal="left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left" vertical="center" wrapText="1"/>
    </xf>
    <xf numFmtId="0" fontId="83" fillId="33" borderId="55" xfId="0" applyFont="1" applyFill="1" applyBorder="1" applyAlignment="1">
      <alignment horizontal="left" vertical="center" wrapText="1"/>
    </xf>
    <xf numFmtId="16" fontId="83" fillId="33" borderId="56" xfId="0" applyNumberFormat="1" applyFont="1" applyFill="1" applyBorder="1" applyAlignment="1">
      <alignment horizontal="center" vertical="center" wrapText="1"/>
    </xf>
    <xf numFmtId="0" fontId="83" fillId="33" borderId="21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1" fontId="85" fillId="33" borderId="61" xfId="0" applyNumberFormat="1" applyFont="1" applyFill="1" applyBorder="1" applyAlignment="1">
      <alignment horizontal="center" vertical="center"/>
    </xf>
    <xf numFmtId="1" fontId="83" fillId="33" borderId="23" xfId="0" applyNumberFormat="1" applyFont="1" applyFill="1" applyBorder="1" applyAlignment="1">
      <alignment horizontal="center" vertical="center"/>
    </xf>
    <xf numFmtId="0" fontId="83" fillId="33" borderId="61" xfId="0" applyFont="1" applyFill="1" applyBorder="1" applyAlignment="1">
      <alignment horizontal="center" vertical="center"/>
    </xf>
    <xf numFmtId="180" fontId="85" fillId="33" borderId="62" xfId="0" applyNumberFormat="1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180" fontId="83" fillId="33" borderId="23" xfId="0" applyNumberFormat="1" applyFont="1" applyFill="1" applyBorder="1" applyAlignment="1">
      <alignment horizontal="center" vertical="center"/>
    </xf>
    <xf numFmtId="1" fontId="83" fillId="33" borderId="21" xfId="0" applyNumberFormat="1" applyFont="1" applyFill="1" applyBorder="1" applyAlignment="1">
      <alignment horizontal="center" vertical="center"/>
    </xf>
    <xf numFmtId="180" fontId="85" fillId="33" borderId="36" xfId="0" applyNumberFormat="1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83" fillId="33" borderId="21" xfId="0" applyFont="1" applyFill="1" applyBorder="1" applyAlignment="1">
      <alignment horizontal="left" vertical="center"/>
    </xf>
    <xf numFmtId="0" fontId="83" fillId="33" borderId="35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70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83" fillId="0" borderId="43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left" vertical="center"/>
    </xf>
    <xf numFmtId="0" fontId="83" fillId="0" borderId="27" xfId="0" applyFont="1" applyFill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/>
    </xf>
    <xf numFmtId="0" fontId="83" fillId="0" borderId="71" xfId="0" applyFont="1" applyFill="1" applyBorder="1" applyAlignment="1">
      <alignment horizontal="center" vertical="center"/>
    </xf>
    <xf numFmtId="0" fontId="83" fillId="0" borderId="72" xfId="0" applyFont="1" applyFill="1" applyBorder="1" applyAlignment="1">
      <alignment horizontal="center" vertical="center"/>
    </xf>
    <xf numFmtId="0" fontId="83" fillId="0" borderId="73" xfId="0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left" vertical="center"/>
    </xf>
    <xf numFmtId="0" fontId="83" fillId="0" borderId="74" xfId="0" applyFont="1" applyFill="1" applyBorder="1" applyAlignment="1">
      <alignment horizontal="center" vertical="center"/>
    </xf>
    <xf numFmtId="0" fontId="83" fillId="0" borderId="7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5" fillId="33" borderId="0" xfId="0" applyFont="1" applyFill="1" applyAlignment="1">
      <alignment horizontal="left" vertical="top" wrapText="1"/>
    </xf>
    <xf numFmtId="49" fontId="75" fillId="33" borderId="21" xfId="0" applyNumberFormat="1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 wrapText="1"/>
    </xf>
    <xf numFmtId="0" fontId="93" fillId="0" borderId="60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 wrapText="1"/>
    </xf>
    <xf numFmtId="0" fontId="75" fillId="0" borderId="12" xfId="0" applyNumberFormat="1" applyFont="1" applyFill="1" applyBorder="1" applyAlignment="1">
      <alignment horizontal="left" vertical="center" wrapText="1"/>
    </xf>
    <xf numFmtId="0" fontId="75" fillId="0" borderId="42" xfId="0" applyNumberFormat="1" applyFont="1" applyFill="1" applyBorder="1" applyAlignment="1">
      <alignment horizontal="left" vertical="center" wrapText="1"/>
    </xf>
    <xf numFmtId="0" fontId="75" fillId="0" borderId="43" xfId="0" applyNumberFormat="1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82" fillId="0" borderId="66" xfId="0" applyFont="1" applyFill="1" applyBorder="1" applyAlignment="1">
      <alignment horizontal="center" vertical="center"/>
    </xf>
    <xf numFmtId="0" fontId="82" fillId="0" borderId="60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60" xfId="0" applyFont="1" applyFill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 wrapText="1"/>
    </xf>
    <xf numFmtId="0" fontId="75" fillId="0" borderId="70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49" fontId="75" fillId="0" borderId="53" xfId="0" applyNumberFormat="1" applyFont="1" applyFill="1" applyBorder="1" applyAlignment="1">
      <alignment horizontal="left" vertical="center" wrapText="1"/>
    </xf>
    <xf numFmtId="49" fontId="75" fillId="0" borderId="68" xfId="0" applyNumberFormat="1" applyFont="1" applyFill="1" applyBorder="1" applyAlignment="1">
      <alignment horizontal="left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12" xfId="0" applyNumberFormat="1" applyFont="1" applyFill="1" applyBorder="1" applyAlignment="1">
      <alignment vertical="center" wrapText="1"/>
    </xf>
    <xf numFmtId="0" fontId="0" fillId="0" borderId="42" xfId="0" applyNumberFormat="1" applyBorder="1" applyAlignment="1">
      <alignment wrapText="1"/>
    </xf>
    <xf numFmtId="0" fontId="0" fillId="0" borderId="43" xfId="0" applyNumberFormat="1" applyBorder="1" applyAlignment="1">
      <alignment wrapText="1"/>
    </xf>
    <xf numFmtId="49" fontId="75" fillId="0" borderId="42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left" vertical="top" wrapText="1"/>
    </xf>
    <xf numFmtId="0" fontId="75" fillId="0" borderId="21" xfId="0" applyFont="1" applyFill="1" applyBorder="1" applyAlignment="1">
      <alignment horizontal="center" vertical="top" wrapText="1"/>
    </xf>
    <xf numFmtId="0" fontId="75" fillId="0" borderId="21" xfId="0" applyFont="1" applyFill="1" applyBorder="1" applyAlignment="1">
      <alignment horizontal="center" wrapText="1"/>
    </xf>
    <xf numFmtId="1" fontId="92" fillId="33" borderId="32" xfId="0" applyNumberFormat="1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top" wrapText="1"/>
    </xf>
    <xf numFmtId="1" fontId="94" fillId="33" borderId="23" xfId="0" applyNumberFormat="1" applyFont="1" applyFill="1" applyBorder="1" applyAlignment="1">
      <alignment horizontal="center" vertical="center"/>
    </xf>
    <xf numFmtId="1" fontId="94" fillId="33" borderId="60" xfId="0" applyNumberFormat="1" applyFont="1" applyFill="1" applyBorder="1" applyAlignment="1">
      <alignment horizontal="center" vertical="center"/>
    </xf>
    <xf numFmtId="0" fontId="95" fillId="33" borderId="60" xfId="0" applyFont="1" applyFill="1" applyBorder="1" applyAlignment="1">
      <alignment horizontal="left" vertical="center"/>
    </xf>
    <xf numFmtId="0" fontId="95" fillId="33" borderId="61" xfId="0" applyFont="1" applyFill="1" applyBorder="1" applyAlignment="1">
      <alignment horizontal="left" vertical="center"/>
    </xf>
    <xf numFmtId="1" fontId="94" fillId="33" borderId="23" xfId="0" applyNumberFormat="1" applyFont="1" applyFill="1" applyBorder="1" applyAlignment="1">
      <alignment horizontal="center" vertical="center" wrapText="1"/>
    </xf>
    <xf numFmtId="1" fontId="94" fillId="33" borderId="60" xfId="0" applyNumberFormat="1" applyFont="1" applyFill="1" applyBorder="1" applyAlignment="1">
      <alignment horizontal="center" vertical="center" wrapText="1"/>
    </xf>
    <xf numFmtId="0" fontId="95" fillId="33" borderId="60" xfId="0" applyFont="1" applyFill="1" applyBorder="1" applyAlignment="1">
      <alignment horizontal="left" vertical="center" wrapText="1"/>
    </xf>
    <xf numFmtId="0" fontId="95" fillId="33" borderId="61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top"/>
    </xf>
    <xf numFmtId="0" fontId="75" fillId="0" borderId="21" xfId="0" applyFont="1" applyFill="1" applyBorder="1" applyAlignment="1">
      <alignment horizontal="center" vertical="center" wrapText="1"/>
    </xf>
    <xf numFmtId="0" fontId="82" fillId="0" borderId="0" xfId="51" applyFont="1" applyFill="1" applyBorder="1" applyAlignment="1">
      <alignment horizontal="center" vertical="center"/>
    </xf>
    <xf numFmtId="0" fontId="83" fillId="0" borderId="4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49" fontId="75" fillId="0" borderId="25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left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54" fillId="33" borderId="42" xfId="0" applyFont="1" applyFill="1" applyBorder="1" applyAlignment="1">
      <alignment horizontal="left" vertical="center" wrapText="1"/>
    </xf>
    <xf numFmtId="0" fontId="54" fillId="33" borderId="2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9"/>
  <sheetViews>
    <sheetView tabSelected="1" zoomScale="55" zoomScaleNormal="55" zoomScalePageLayoutView="0" workbookViewId="0" topLeftCell="A115">
      <selection activeCell="AG91" sqref="AG91"/>
    </sheetView>
  </sheetViews>
  <sheetFormatPr defaultColWidth="4.75390625" defaultRowHeight="12.75"/>
  <cols>
    <col min="1" max="1" width="7.875" style="1" customWidth="1"/>
    <col min="2" max="2" width="4.875" style="1" customWidth="1"/>
    <col min="3" max="3" width="5.375" style="1" customWidth="1"/>
    <col min="4" max="4" width="9.25390625" style="1" customWidth="1"/>
    <col min="5" max="5" width="4.875" style="1" customWidth="1"/>
    <col min="6" max="6" width="5.125" style="1" customWidth="1"/>
    <col min="7" max="7" width="4.875" style="1" customWidth="1"/>
    <col min="8" max="10" width="5.125" style="1" customWidth="1"/>
    <col min="11" max="11" width="4.875" style="1" customWidth="1"/>
    <col min="12" max="12" width="5.375" style="1" customWidth="1"/>
    <col min="13" max="13" width="7.00390625" style="1" customWidth="1"/>
    <col min="14" max="14" width="5.375" style="1" customWidth="1"/>
    <col min="15" max="15" width="9.875" style="1" customWidth="1"/>
    <col min="16" max="17" width="5.125" style="1" customWidth="1"/>
    <col min="18" max="19" width="5.125" style="4" customWidth="1"/>
    <col min="20" max="20" width="5.375" style="1" customWidth="1"/>
    <col min="21" max="23" width="5.125" style="1" customWidth="1"/>
    <col min="24" max="24" width="4.875" style="1" customWidth="1"/>
    <col min="25" max="25" width="5.875" style="1" customWidth="1"/>
    <col min="26" max="27" width="5.125" style="1" customWidth="1"/>
    <col min="28" max="28" width="4.875" style="1" customWidth="1"/>
    <col min="29" max="29" width="5.75390625" style="1" customWidth="1"/>
    <col min="30" max="30" width="5.375" style="1" customWidth="1"/>
    <col min="31" max="31" width="6.875" style="1" customWidth="1"/>
    <col min="32" max="32" width="10.625" style="1" customWidth="1"/>
    <col min="33" max="33" width="9.375" style="1" customWidth="1"/>
    <col min="34" max="34" width="9.00390625" style="1" customWidth="1"/>
    <col min="35" max="35" width="11.00390625" style="1" customWidth="1"/>
    <col min="36" max="36" width="9.25390625" style="1" customWidth="1"/>
    <col min="37" max="37" width="8.875" style="1" customWidth="1"/>
    <col min="38" max="38" width="10.25390625" style="1" customWidth="1"/>
    <col min="39" max="39" width="8.125" style="1" customWidth="1"/>
    <col min="40" max="40" width="9.375" style="1" customWidth="1"/>
    <col min="41" max="41" width="11.25390625" style="1" customWidth="1"/>
    <col min="42" max="43" width="8.625" style="1" customWidth="1"/>
    <col min="44" max="44" width="10.125" style="1" customWidth="1"/>
    <col min="45" max="45" width="8.625" style="1" customWidth="1"/>
    <col min="46" max="46" width="9.00390625" style="1" customWidth="1"/>
    <col min="47" max="47" width="10.25390625" style="1" customWidth="1"/>
    <col min="48" max="48" width="8.75390625" style="1" customWidth="1"/>
    <col min="49" max="49" width="8.375" style="1" customWidth="1"/>
    <col min="50" max="50" width="10.625" style="1" customWidth="1"/>
    <col min="51" max="51" width="8.75390625" style="1" customWidth="1"/>
    <col min="52" max="52" width="8.625" style="1" customWidth="1"/>
    <col min="53" max="53" width="8.125" style="1" customWidth="1"/>
    <col min="54" max="54" width="8.875" style="1" customWidth="1"/>
    <col min="55" max="55" width="7.375" style="1" customWidth="1"/>
    <col min="56" max="56" width="4.875" style="1" customWidth="1"/>
    <col min="57" max="57" width="6.00390625" style="1" customWidth="1"/>
    <col min="58" max="58" width="5.25390625" style="5" customWidth="1"/>
    <col min="59" max="59" width="4.875" style="5" customWidth="1"/>
    <col min="60" max="60" width="6.25390625" style="5" customWidth="1"/>
    <col min="61" max="61" width="8.375" style="5" customWidth="1"/>
    <col min="62" max="62" width="17.00390625" style="6" customWidth="1"/>
    <col min="63" max="63" width="6.00390625" style="1" customWidth="1"/>
    <col min="64" max="66" width="4.75390625" style="1" customWidth="1"/>
    <col min="67" max="67" width="5.375" style="1" customWidth="1"/>
    <col min="68" max="70" width="4.75390625" style="1" customWidth="1"/>
    <col min="71" max="71" width="10.25390625" style="1" customWidth="1"/>
    <col min="72" max="16384" width="4.75390625" style="1" customWidth="1"/>
  </cols>
  <sheetData>
    <row r="1" spans="20:45" ht="31.5" customHeight="1">
      <c r="T1" s="174" t="s">
        <v>317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</row>
    <row r="3" spans="2:67" ht="41.25" customHeight="1">
      <c r="B3" s="2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Z3" s="552" t="s">
        <v>135</v>
      </c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0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2:61" ht="30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AV4" s="8" t="s">
        <v>319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2:38" ht="30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59" ht="30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T6" s="49" t="s">
        <v>146</v>
      </c>
      <c r="U6" s="8"/>
      <c r="X6" s="8"/>
      <c r="Y6" s="8"/>
      <c r="Z6" s="8"/>
      <c r="AA6" s="52"/>
      <c r="AB6" s="551" t="s">
        <v>224</v>
      </c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63"/>
      <c r="AU6" s="63"/>
      <c r="AV6" s="286" t="s">
        <v>395</v>
      </c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</row>
    <row r="7" spans="2:58" ht="30" customHeight="1">
      <c r="B7" s="286" t="s">
        <v>348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D7" s="10"/>
      <c r="AE7" s="282"/>
      <c r="AF7" s="282"/>
      <c r="AG7" s="282"/>
      <c r="AH7" s="282"/>
      <c r="AI7" s="282"/>
      <c r="AJ7" s="282"/>
      <c r="AK7" s="282"/>
      <c r="AL7" s="282"/>
      <c r="AM7" s="10"/>
      <c r="AN7" s="11"/>
      <c r="AO7" s="11"/>
      <c r="AP7" s="11"/>
      <c r="AQ7" s="11"/>
      <c r="AR7" s="10"/>
      <c r="AS7" s="11"/>
      <c r="AT7" s="11"/>
      <c r="AV7" s="12"/>
      <c r="AW7" s="12"/>
      <c r="AX7" s="12"/>
      <c r="AY7" s="12"/>
      <c r="AZ7" s="51"/>
      <c r="BA7" s="12"/>
      <c r="BB7" s="13"/>
      <c r="BC7" s="13"/>
      <c r="BD7" s="13"/>
      <c r="BE7" s="13"/>
      <c r="BF7" s="14"/>
    </row>
    <row r="8" spans="2:61" ht="30" customHeight="1">
      <c r="B8" s="9" t="s">
        <v>126</v>
      </c>
      <c r="C8" s="9"/>
      <c r="D8" s="9"/>
      <c r="E8" s="9"/>
      <c r="F8" s="9"/>
      <c r="G8" s="9"/>
      <c r="H8" s="9"/>
      <c r="I8" s="15"/>
      <c r="J8" s="15"/>
      <c r="K8" s="15"/>
      <c r="L8" s="15"/>
      <c r="M8" s="16"/>
      <c r="N8" s="16"/>
      <c r="R8" s="17"/>
      <c r="S8" s="17"/>
      <c r="T8" s="550" t="s">
        <v>318</v>
      </c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W8" s="174" t="s">
        <v>358</v>
      </c>
      <c r="AX8" s="174"/>
      <c r="AY8" s="174"/>
      <c r="AZ8" s="174"/>
      <c r="BA8" s="174"/>
      <c r="BB8" s="174"/>
      <c r="BC8" s="19"/>
      <c r="BD8" s="19"/>
      <c r="BE8" s="19"/>
      <c r="BF8" s="20"/>
      <c r="BG8" s="21"/>
      <c r="BH8" s="21"/>
      <c r="BI8" s="21"/>
    </row>
    <row r="9" spans="2:61" ht="24.75" customHeight="1">
      <c r="B9" s="2" t="s">
        <v>105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/>
      <c r="N9" s="16"/>
      <c r="T9" s="15" t="s">
        <v>127</v>
      </c>
      <c r="U9" s="7"/>
      <c r="V9" s="5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8"/>
      <c r="AW9" s="8"/>
      <c r="AX9" s="8"/>
      <c r="AY9" s="8"/>
      <c r="AZ9" s="8"/>
      <c r="BA9" s="8"/>
      <c r="BB9" s="8"/>
      <c r="BE9" s="57"/>
      <c r="BF9" s="20"/>
      <c r="BG9" s="21"/>
      <c r="BH9" s="21"/>
      <c r="BI9" s="21"/>
    </row>
    <row r="10" spans="2:58" ht="24" customHeight="1">
      <c r="B10" s="405" t="s">
        <v>100</v>
      </c>
      <c r="C10" s="405"/>
      <c r="D10" s="405"/>
      <c r="E10" s="405"/>
      <c r="F10" s="405"/>
      <c r="G10" s="405"/>
      <c r="H10" s="405"/>
      <c r="I10" s="13"/>
      <c r="J10" s="13"/>
      <c r="K10" s="13"/>
      <c r="L10" s="13"/>
      <c r="M10" s="16"/>
      <c r="N10" s="16"/>
      <c r="Q10" s="5"/>
      <c r="T10" s="7"/>
      <c r="U10" s="7"/>
      <c r="V10" s="58"/>
      <c r="W10" s="58"/>
      <c r="X10" s="58"/>
      <c r="Y10" s="58"/>
      <c r="AA10" s="12"/>
      <c r="AB10" s="12"/>
      <c r="AC10" s="59"/>
      <c r="AD10" s="59"/>
      <c r="AE10" s="59"/>
      <c r="AF10" s="59"/>
      <c r="AH10" s="60"/>
      <c r="AI10" s="59"/>
      <c r="AJ10" s="59"/>
      <c r="AK10" s="59"/>
      <c r="AL10" s="59"/>
      <c r="AM10" s="59"/>
      <c r="AN10" s="59"/>
      <c r="AO10" s="18"/>
      <c r="AP10" s="18"/>
      <c r="AQ10" s="18"/>
      <c r="BD10" s="13"/>
      <c r="BE10" s="13"/>
      <c r="BF10" s="14"/>
    </row>
    <row r="11" spans="2:58" ht="29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/>
      <c r="N11" s="16"/>
      <c r="W11" s="12"/>
      <c r="X11" s="12"/>
      <c r="Y11" s="12"/>
      <c r="Z11" s="12"/>
      <c r="AA11" s="12"/>
      <c r="AB11" s="12"/>
      <c r="AC11" s="59"/>
      <c r="AD11" s="59"/>
      <c r="AE11" s="59"/>
      <c r="AF11" s="59"/>
      <c r="AG11" s="59"/>
      <c r="AH11" s="59"/>
      <c r="AI11" s="59"/>
      <c r="AJ11" s="59"/>
      <c r="AK11" s="58"/>
      <c r="AL11" s="59"/>
      <c r="AM11" s="59"/>
      <c r="AN11" s="59"/>
      <c r="BD11" s="13"/>
      <c r="BE11" s="13"/>
      <c r="BF11" s="14"/>
    </row>
    <row r="12" spans="2:39" ht="30.75">
      <c r="B12" s="2" t="s">
        <v>99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6"/>
      <c r="N12" s="16"/>
      <c r="T12" s="2"/>
      <c r="U12" s="7"/>
      <c r="V12" s="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44" ht="22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5:44" ht="30">
      <c r="E14" s="22" t="s">
        <v>128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3"/>
      <c r="S14" s="2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4"/>
      <c r="AN14" s="7"/>
      <c r="AR14" s="24" t="s">
        <v>6</v>
      </c>
    </row>
    <row r="16" spans="1:61" s="6" customFormat="1" ht="26.25" customHeight="1">
      <c r="A16" s="283" t="s">
        <v>76</v>
      </c>
      <c r="B16" s="284" t="s">
        <v>88</v>
      </c>
      <c r="C16" s="284"/>
      <c r="D16" s="284"/>
      <c r="E16" s="284"/>
      <c r="F16" s="285" t="s">
        <v>306</v>
      </c>
      <c r="G16" s="284" t="s">
        <v>87</v>
      </c>
      <c r="H16" s="284"/>
      <c r="I16" s="284"/>
      <c r="J16" s="285" t="s">
        <v>307</v>
      </c>
      <c r="K16" s="284" t="s">
        <v>86</v>
      </c>
      <c r="L16" s="284"/>
      <c r="M16" s="284"/>
      <c r="N16" s="284"/>
      <c r="O16" s="284" t="s">
        <v>85</v>
      </c>
      <c r="P16" s="284"/>
      <c r="Q16" s="284"/>
      <c r="R16" s="284"/>
      <c r="S16" s="285" t="s">
        <v>308</v>
      </c>
      <c r="T16" s="284" t="s">
        <v>84</v>
      </c>
      <c r="U16" s="284"/>
      <c r="V16" s="284"/>
      <c r="W16" s="285" t="s">
        <v>309</v>
      </c>
      <c r="X16" s="284" t="s">
        <v>83</v>
      </c>
      <c r="Y16" s="284"/>
      <c r="Z16" s="284"/>
      <c r="AA16" s="285" t="s">
        <v>310</v>
      </c>
      <c r="AB16" s="284" t="s">
        <v>82</v>
      </c>
      <c r="AC16" s="284"/>
      <c r="AD16" s="284"/>
      <c r="AE16" s="284"/>
      <c r="AF16" s="285" t="s">
        <v>311</v>
      </c>
      <c r="AG16" s="284" t="s">
        <v>81</v>
      </c>
      <c r="AH16" s="284"/>
      <c r="AI16" s="284"/>
      <c r="AJ16" s="285" t="s">
        <v>312</v>
      </c>
      <c r="AK16" s="284" t="s">
        <v>80</v>
      </c>
      <c r="AL16" s="284"/>
      <c r="AM16" s="284"/>
      <c r="AN16" s="284"/>
      <c r="AO16" s="284" t="s">
        <v>79</v>
      </c>
      <c r="AP16" s="284"/>
      <c r="AQ16" s="284"/>
      <c r="AR16" s="284"/>
      <c r="AS16" s="285" t="s">
        <v>313</v>
      </c>
      <c r="AT16" s="284" t="s">
        <v>78</v>
      </c>
      <c r="AU16" s="284"/>
      <c r="AV16" s="284"/>
      <c r="AW16" s="285" t="s">
        <v>314</v>
      </c>
      <c r="AX16" s="284" t="s">
        <v>77</v>
      </c>
      <c r="AY16" s="284"/>
      <c r="AZ16" s="284"/>
      <c r="BA16" s="287"/>
      <c r="BB16" s="283" t="s">
        <v>32</v>
      </c>
      <c r="BC16" s="283" t="s">
        <v>27</v>
      </c>
      <c r="BD16" s="283" t="s">
        <v>28</v>
      </c>
      <c r="BE16" s="283" t="s">
        <v>73</v>
      </c>
      <c r="BF16" s="283" t="s">
        <v>72</v>
      </c>
      <c r="BG16" s="283" t="s">
        <v>74</v>
      </c>
      <c r="BH16" s="283" t="s">
        <v>75</v>
      </c>
      <c r="BI16" s="283" t="s">
        <v>5</v>
      </c>
    </row>
    <row r="17" spans="1:61" s="6" customFormat="1" ht="256.5" customHeight="1">
      <c r="A17" s="283"/>
      <c r="B17" s="73" t="s">
        <v>89</v>
      </c>
      <c r="C17" s="73" t="s">
        <v>36</v>
      </c>
      <c r="D17" s="73" t="s">
        <v>37</v>
      </c>
      <c r="E17" s="73" t="s">
        <v>38</v>
      </c>
      <c r="F17" s="284"/>
      <c r="G17" s="73" t="s">
        <v>39</v>
      </c>
      <c r="H17" s="73" t="s">
        <v>40</v>
      </c>
      <c r="I17" s="73" t="s">
        <v>41</v>
      </c>
      <c r="J17" s="284"/>
      <c r="K17" s="73" t="s">
        <v>42</v>
      </c>
      <c r="L17" s="73" t="s">
        <v>43</v>
      </c>
      <c r="M17" s="73" t="s">
        <v>44</v>
      </c>
      <c r="N17" s="73" t="s">
        <v>45</v>
      </c>
      <c r="O17" s="73" t="s">
        <v>35</v>
      </c>
      <c r="P17" s="73" t="s">
        <v>36</v>
      </c>
      <c r="Q17" s="73" t="s">
        <v>37</v>
      </c>
      <c r="R17" s="73" t="s">
        <v>38</v>
      </c>
      <c r="S17" s="284"/>
      <c r="T17" s="73" t="s">
        <v>46</v>
      </c>
      <c r="U17" s="73" t="s">
        <v>47</v>
      </c>
      <c r="V17" s="73" t="s">
        <v>48</v>
      </c>
      <c r="W17" s="284"/>
      <c r="X17" s="73" t="s">
        <v>49</v>
      </c>
      <c r="Y17" s="73" t="s">
        <v>50</v>
      </c>
      <c r="Z17" s="73" t="s">
        <v>51</v>
      </c>
      <c r="AA17" s="284"/>
      <c r="AB17" s="73" t="s">
        <v>49</v>
      </c>
      <c r="AC17" s="73" t="s">
        <v>50</v>
      </c>
      <c r="AD17" s="73" t="s">
        <v>51</v>
      </c>
      <c r="AE17" s="73" t="s">
        <v>52</v>
      </c>
      <c r="AF17" s="284"/>
      <c r="AG17" s="73" t="s">
        <v>39</v>
      </c>
      <c r="AH17" s="73" t="s">
        <v>40</v>
      </c>
      <c r="AI17" s="73" t="s">
        <v>41</v>
      </c>
      <c r="AJ17" s="284"/>
      <c r="AK17" s="73" t="s">
        <v>53</v>
      </c>
      <c r="AL17" s="73" t="s">
        <v>54</v>
      </c>
      <c r="AM17" s="73" t="s">
        <v>55</v>
      </c>
      <c r="AN17" s="73" t="s">
        <v>56</v>
      </c>
      <c r="AO17" s="73" t="s">
        <v>35</v>
      </c>
      <c r="AP17" s="73" t="s">
        <v>36</v>
      </c>
      <c r="AQ17" s="73" t="s">
        <v>37</v>
      </c>
      <c r="AR17" s="73" t="s">
        <v>38</v>
      </c>
      <c r="AS17" s="284"/>
      <c r="AT17" s="73" t="s">
        <v>39</v>
      </c>
      <c r="AU17" s="73" t="s">
        <v>40</v>
      </c>
      <c r="AV17" s="73" t="s">
        <v>41</v>
      </c>
      <c r="AW17" s="284"/>
      <c r="AX17" s="73" t="s">
        <v>42</v>
      </c>
      <c r="AY17" s="73" t="s">
        <v>43</v>
      </c>
      <c r="AZ17" s="73" t="s">
        <v>44</v>
      </c>
      <c r="BA17" s="74" t="s">
        <v>57</v>
      </c>
      <c r="BB17" s="283"/>
      <c r="BC17" s="283"/>
      <c r="BD17" s="283"/>
      <c r="BE17" s="283"/>
      <c r="BF17" s="283"/>
      <c r="BG17" s="283"/>
      <c r="BH17" s="283"/>
      <c r="BI17" s="283"/>
    </row>
    <row r="18" spans="1:61" s="6" customFormat="1" ht="30" customHeight="1">
      <c r="A18" s="75" t="s">
        <v>24</v>
      </c>
      <c r="B18" s="76"/>
      <c r="C18" s="76"/>
      <c r="D18" s="76"/>
      <c r="E18" s="76"/>
      <c r="F18" s="76"/>
      <c r="G18" s="76"/>
      <c r="H18" s="76">
        <v>17</v>
      </c>
      <c r="I18" s="76"/>
      <c r="J18" s="76"/>
      <c r="K18" s="76"/>
      <c r="L18" s="76"/>
      <c r="M18" s="76"/>
      <c r="N18" s="76"/>
      <c r="O18" s="72"/>
      <c r="P18" s="72"/>
      <c r="Q18" s="72"/>
      <c r="R18" s="72"/>
      <c r="S18" s="36" t="s">
        <v>0</v>
      </c>
      <c r="T18" s="36" t="s">
        <v>0</v>
      </c>
      <c r="U18" s="36" t="s">
        <v>0</v>
      </c>
      <c r="V18" s="36" t="s">
        <v>0</v>
      </c>
      <c r="W18" s="34" t="s">
        <v>59</v>
      </c>
      <c r="X18" s="34" t="s">
        <v>59</v>
      </c>
      <c r="Y18" s="72"/>
      <c r="Z18" s="72"/>
      <c r="AA18" s="72"/>
      <c r="AB18" s="72"/>
      <c r="AC18" s="72">
        <v>16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36" t="s">
        <v>0</v>
      </c>
      <c r="AP18" s="36" t="s">
        <v>0</v>
      </c>
      <c r="AQ18" s="36" t="s">
        <v>0</v>
      </c>
      <c r="AR18" s="36" t="s">
        <v>0</v>
      </c>
      <c r="AS18" s="33" t="s">
        <v>1</v>
      </c>
      <c r="AT18" s="33" t="s">
        <v>1</v>
      </c>
      <c r="AU18" s="34" t="s">
        <v>59</v>
      </c>
      <c r="AV18" s="34" t="s">
        <v>59</v>
      </c>
      <c r="AW18" s="34" t="s">
        <v>59</v>
      </c>
      <c r="AX18" s="34" t="s">
        <v>59</v>
      </c>
      <c r="AY18" s="34" t="s">
        <v>59</v>
      </c>
      <c r="AZ18" s="34" t="s">
        <v>59</v>
      </c>
      <c r="BA18" s="34" t="s">
        <v>59</v>
      </c>
      <c r="BB18" s="72">
        <v>33</v>
      </c>
      <c r="BC18" s="72">
        <v>8</v>
      </c>
      <c r="BD18" s="72">
        <v>2</v>
      </c>
      <c r="BE18" s="72"/>
      <c r="BF18" s="72"/>
      <c r="BG18" s="72"/>
      <c r="BH18" s="72">
        <v>9</v>
      </c>
      <c r="BI18" s="72">
        <f>SUM(BB18:BH18)</f>
        <v>52</v>
      </c>
    </row>
    <row r="19" spans="1:61" s="6" customFormat="1" ht="30" customHeight="1">
      <c r="A19" s="75" t="s">
        <v>25</v>
      </c>
      <c r="B19" s="76"/>
      <c r="C19" s="76"/>
      <c r="D19" s="76"/>
      <c r="E19" s="76"/>
      <c r="F19" s="76"/>
      <c r="G19" s="76"/>
      <c r="H19" s="76">
        <v>17</v>
      </c>
      <c r="I19" s="76"/>
      <c r="J19" s="76"/>
      <c r="K19" s="76"/>
      <c r="L19" s="76"/>
      <c r="M19" s="76"/>
      <c r="N19" s="76"/>
      <c r="O19" s="72"/>
      <c r="P19" s="72"/>
      <c r="Q19" s="72"/>
      <c r="R19" s="72"/>
      <c r="S19" s="36" t="s">
        <v>0</v>
      </c>
      <c r="T19" s="36" t="s">
        <v>0</v>
      </c>
      <c r="U19" s="36" t="s">
        <v>0</v>
      </c>
      <c r="V19" s="36" t="s">
        <v>0</v>
      </c>
      <c r="W19" s="34" t="s">
        <v>59</v>
      </c>
      <c r="X19" s="34" t="s">
        <v>59</v>
      </c>
      <c r="Y19" s="72"/>
      <c r="Z19" s="72"/>
      <c r="AA19" s="72"/>
      <c r="AB19" s="72"/>
      <c r="AC19" s="72">
        <v>16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36" t="s">
        <v>0</v>
      </c>
      <c r="AP19" s="36" t="s">
        <v>0</v>
      </c>
      <c r="AQ19" s="36" t="s">
        <v>0</v>
      </c>
      <c r="AR19" s="36" t="s">
        <v>0</v>
      </c>
      <c r="AS19" s="34" t="s">
        <v>61</v>
      </c>
      <c r="AT19" s="34" t="s">
        <v>61</v>
      </c>
      <c r="AU19" s="34" t="s">
        <v>61</v>
      </c>
      <c r="AV19" s="34" t="s">
        <v>61</v>
      </c>
      <c r="AW19" s="34" t="s">
        <v>59</v>
      </c>
      <c r="AX19" s="34" t="s">
        <v>59</v>
      </c>
      <c r="AY19" s="34" t="s">
        <v>59</v>
      </c>
      <c r="AZ19" s="34" t="s">
        <v>59</v>
      </c>
      <c r="BA19" s="34" t="s">
        <v>59</v>
      </c>
      <c r="BB19" s="72">
        <v>33</v>
      </c>
      <c r="BC19" s="72">
        <v>8</v>
      </c>
      <c r="BD19" s="72"/>
      <c r="BE19" s="72">
        <v>4</v>
      </c>
      <c r="BF19" s="72"/>
      <c r="BG19" s="72"/>
      <c r="BH19" s="72">
        <v>7</v>
      </c>
      <c r="BI19" s="72">
        <f>SUM(BB19:BH19)</f>
        <v>52</v>
      </c>
    </row>
    <row r="20" spans="1:61" s="6" customFormat="1" ht="30" customHeight="1">
      <c r="A20" s="75" t="s">
        <v>26</v>
      </c>
      <c r="B20" s="33"/>
      <c r="C20" s="33"/>
      <c r="D20" s="76"/>
      <c r="E20" s="76"/>
      <c r="F20" s="76"/>
      <c r="G20" s="76"/>
      <c r="H20" s="76">
        <v>17</v>
      </c>
      <c r="I20" s="76"/>
      <c r="J20" s="76"/>
      <c r="K20" s="76"/>
      <c r="L20" s="76"/>
      <c r="M20" s="76"/>
      <c r="N20" s="76"/>
      <c r="O20" s="72"/>
      <c r="P20" s="72"/>
      <c r="Q20" s="72"/>
      <c r="R20" s="33"/>
      <c r="S20" s="36" t="s">
        <v>0</v>
      </c>
      <c r="T20" s="36" t="s">
        <v>0</v>
      </c>
      <c r="U20" s="36" t="s">
        <v>0</v>
      </c>
      <c r="V20" s="36" t="s">
        <v>0</v>
      </c>
      <c r="W20" s="34" t="s">
        <v>59</v>
      </c>
      <c r="X20" s="34" t="s">
        <v>59</v>
      </c>
      <c r="Y20" s="72"/>
      <c r="Z20" s="72"/>
      <c r="AA20" s="72"/>
      <c r="AB20" s="72"/>
      <c r="AC20" s="72">
        <v>16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7"/>
      <c r="AO20" s="36" t="s">
        <v>0</v>
      </c>
      <c r="AP20" s="36" t="s">
        <v>0</v>
      </c>
      <c r="AQ20" s="36" t="s">
        <v>0</v>
      </c>
      <c r="AR20" s="36" t="s">
        <v>0</v>
      </c>
      <c r="AS20" s="34" t="s">
        <v>61</v>
      </c>
      <c r="AT20" s="34" t="s">
        <v>61</v>
      </c>
      <c r="AU20" s="34" t="s">
        <v>61</v>
      </c>
      <c r="AV20" s="34" t="s">
        <v>61</v>
      </c>
      <c r="AW20" s="34" t="s">
        <v>59</v>
      </c>
      <c r="AX20" s="34" t="s">
        <v>59</v>
      </c>
      <c r="AY20" s="34" t="s">
        <v>59</v>
      </c>
      <c r="AZ20" s="34" t="s">
        <v>59</v>
      </c>
      <c r="BA20" s="34" t="s">
        <v>59</v>
      </c>
      <c r="BB20" s="72">
        <v>33</v>
      </c>
      <c r="BC20" s="72">
        <v>8</v>
      </c>
      <c r="BD20" s="72"/>
      <c r="BE20" s="72">
        <v>4</v>
      </c>
      <c r="BF20" s="72"/>
      <c r="BG20" s="72"/>
      <c r="BH20" s="72">
        <v>7</v>
      </c>
      <c r="BI20" s="72">
        <f>SUM(BB20:BH20)</f>
        <v>52</v>
      </c>
    </row>
    <row r="21" spans="1:61" s="6" customFormat="1" ht="30" customHeight="1">
      <c r="A21" s="72" t="s">
        <v>123</v>
      </c>
      <c r="B21" s="72"/>
      <c r="C21" s="72"/>
      <c r="D21" s="72"/>
      <c r="E21" s="72"/>
      <c r="F21" s="76"/>
      <c r="G21" s="76"/>
      <c r="H21" s="76">
        <v>16</v>
      </c>
      <c r="I21" s="76"/>
      <c r="J21" s="76"/>
      <c r="K21" s="76"/>
      <c r="L21" s="76"/>
      <c r="M21" s="76"/>
      <c r="N21" s="76"/>
      <c r="O21" s="72"/>
      <c r="P21" s="72"/>
      <c r="Q21" s="72"/>
      <c r="R21" s="36" t="s">
        <v>0</v>
      </c>
      <c r="S21" s="36" t="s">
        <v>0</v>
      </c>
      <c r="T21" s="36" t="s">
        <v>0</v>
      </c>
      <c r="U21" s="34" t="s">
        <v>59</v>
      </c>
      <c r="V21" s="34" t="s">
        <v>59</v>
      </c>
      <c r="W21" s="72"/>
      <c r="X21" s="72"/>
      <c r="Y21" s="72"/>
      <c r="Z21" s="72"/>
      <c r="AA21" s="72"/>
      <c r="AB21" s="72"/>
      <c r="AC21" s="72">
        <v>8</v>
      </c>
      <c r="AD21" s="72"/>
      <c r="AE21" s="36" t="s">
        <v>0</v>
      </c>
      <c r="AF21" s="34" t="s">
        <v>61</v>
      </c>
      <c r="AG21" s="34" t="s">
        <v>61</v>
      </c>
      <c r="AH21" s="53" t="s">
        <v>91</v>
      </c>
      <c r="AI21" s="53" t="s">
        <v>91</v>
      </c>
      <c r="AJ21" s="53" t="s">
        <v>91</v>
      </c>
      <c r="AK21" s="53" t="s">
        <v>91</v>
      </c>
      <c r="AL21" s="53" t="s">
        <v>91</v>
      </c>
      <c r="AM21" s="53" t="s">
        <v>91</v>
      </c>
      <c r="AN21" s="53" t="s">
        <v>91</v>
      </c>
      <c r="AO21" s="53" t="s">
        <v>91</v>
      </c>
      <c r="AP21" s="53" t="s">
        <v>91</v>
      </c>
      <c r="AQ21" s="53" t="s">
        <v>91</v>
      </c>
      <c r="AR21" s="53" t="s">
        <v>63</v>
      </c>
      <c r="AS21" s="72"/>
      <c r="AT21" s="72"/>
      <c r="AU21" s="72"/>
      <c r="AV21" s="72"/>
      <c r="AW21" s="72"/>
      <c r="AX21" s="72"/>
      <c r="AY21" s="72"/>
      <c r="AZ21" s="72"/>
      <c r="BA21" s="74"/>
      <c r="BB21" s="72">
        <v>24</v>
      </c>
      <c r="BC21" s="72">
        <v>4</v>
      </c>
      <c r="BD21" s="72"/>
      <c r="BE21" s="72">
        <v>2</v>
      </c>
      <c r="BF21" s="72">
        <v>10</v>
      </c>
      <c r="BG21" s="72">
        <v>1</v>
      </c>
      <c r="BH21" s="72">
        <v>2</v>
      </c>
      <c r="BI21" s="72">
        <f>SUM(BB21:BH21)</f>
        <v>43</v>
      </c>
    </row>
    <row r="22" spans="1:61" s="6" customFormat="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72">
        <f aca="true" t="shared" si="0" ref="BB22:BI22">SUM(BB18:BB21)</f>
        <v>123</v>
      </c>
      <c r="BC22" s="72">
        <f t="shared" si="0"/>
        <v>28</v>
      </c>
      <c r="BD22" s="72">
        <f t="shared" si="0"/>
        <v>2</v>
      </c>
      <c r="BE22" s="72">
        <f t="shared" si="0"/>
        <v>10</v>
      </c>
      <c r="BF22" s="72">
        <f t="shared" si="0"/>
        <v>10</v>
      </c>
      <c r="BG22" s="72">
        <f t="shared" si="0"/>
        <v>1</v>
      </c>
      <c r="BH22" s="72">
        <f t="shared" si="0"/>
        <v>25</v>
      </c>
      <c r="BI22" s="72">
        <f t="shared" si="0"/>
        <v>199</v>
      </c>
    </row>
    <row r="23" spans="1:61" s="6" customFormat="1" ht="26.25">
      <c r="A23" s="28"/>
      <c r="B23" s="28"/>
      <c r="C23" s="28" t="s">
        <v>7</v>
      </c>
      <c r="D23" s="28"/>
      <c r="E23" s="28"/>
      <c r="F23" s="28"/>
      <c r="G23" s="29"/>
      <c r="H23" s="30"/>
      <c r="I23" s="31" t="s">
        <v>92</v>
      </c>
      <c r="J23" s="28" t="s">
        <v>4</v>
      </c>
      <c r="K23" s="29"/>
      <c r="L23" s="29"/>
      <c r="M23" s="29"/>
      <c r="N23" s="28"/>
      <c r="O23" s="28"/>
      <c r="P23" s="28"/>
      <c r="Q23" s="28"/>
      <c r="R23" s="32"/>
      <c r="S23" s="33" t="s">
        <v>1</v>
      </c>
      <c r="T23" s="31" t="s">
        <v>92</v>
      </c>
      <c r="U23" s="28" t="s">
        <v>58</v>
      </c>
      <c r="V23" s="29"/>
      <c r="W23" s="28"/>
      <c r="X23" s="28"/>
      <c r="Y23" s="28"/>
      <c r="Z23" s="28"/>
      <c r="AA23" s="28"/>
      <c r="AB23" s="28"/>
      <c r="AC23" s="28"/>
      <c r="AD23" s="29"/>
      <c r="AE23" s="53" t="s">
        <v>91</v>
      </c>
      <c r="AF23" s="31" t="s">
        <v>92</v>
      </c>
      <c r="AG23" s="28" t="s">
        <v>90</v>
      </c>
      <c r="AH23" s="28"/>
      <c r="AI23" s="28"/>
      <c r="AJ23" s="35"/>
      <c r="AK23" s="35"/>
      <c r="AL23" s="35"/>
      <c r="AM23" s="35"/>
      <c r="AN23" s="29"/>
      <c r="AO23" s="34" t="s">
        <v>59</v>
      </c>
      <c r="AP23" s="31" t="s">
        <v>92</v>
      </c>
      <c r="AQ23" s="28" t="s">
        <v>60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79"/>
      <c r="BG23" s="79"/>
      <c r="BH23" s="79"/>
      <c r="BI23" s="79"/>
    </row>
    <row r="24" spans="1:61" s="6" customFormat="1" ht="14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2"/>
      <c r="S24" s="32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79"/>
      <c r="BG24" s="79"/>
      <c r="BH24" s="79"/>
      <c r="BI24" s="79"/>
    </row>
    <row r="25" spans="1:61" s="6" customFormat="1" ht="26.25">
      <c r="A25" s="28"/>
      <c r="B25" s="28"/>
      <c r="C25" s="28"/>
      <c r="D25" s="28"/>
      <c r="E25" s="28"/>
      <c r="F25" s="28"/>
      <c r="G25" s="28"/>
      <c r="H25" s="36" t="s">
        <v>0</v>
      </c>
      <c r="I25" s="31" t="s">
        <v>92</v>
      </c>
      <c r="J25" s="28" t="s">
        <v>64</v>
      </c>
      <c r="K25" s="29"/>
      <c r="L25" s="29"/>
      <c r="M25" s="29"/>
      <c r="N25" s="28"/>
      <c r="O25" s="28"/>
      <c r="P25" s="28"/>
      <c r="Q25" s="28"/>
      <c r="R25" s="32"/>
      <c r="S25" s="34" t="s">
        <v>61</v>
      </c>
      <c r="T25" s="31" t="s">
        <v>92</v>
      </c>
      <c r="U25" s="28" t="s">
        <v>65</v>
      </c>
      <c r="V25" s="29"/>
      <c r="W25" s="28"/>
      <c r="X25" s="28"/>
      <c r="Y25" s="28"/>
      <c r="Z25" s="28"/>
      <c r="AA25" s="28"/>
      <c r="AB25" s="28"/>
      <c r="AC25" s="28"/>
      <c r="AD25" s="29"/>
      <c r="AE25" s="53" t="s">
        <v>63</v>
      </c>
      <c r="AF25" s="31" t="s">
        <v>92</v>
      </c>
      <c r="AG25" s="28" t="s">
        <v>62</v>
      </c>
      <c r="AH25" s="28"/>
      <c r="AI25" s="28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79"/>
      <c r="BG25" s="79"/>
      <c r="BH25" s="79"/>
      <c r="BI25" s="79"/>
    </row>
    <row r="26" spans="1:61" s="6" customFormat="1" ht="21.75" customHeight="1">
      <c r="A26" s="26"/>
      <c r="B26" s="26"/>
      <c r="C26" s="26"/>
      <c r="D26" s="26"/>
      <c r="E26" s="26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7"/>
      <c r="S26" s="37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5"/>
      <c r="BG26" s="5"/>
      <c r="BH26" s="5"/>
      <c r="BI26" s="5"/>
    </row>
    <row r="27" spans="1:61" s="6" customFormat="1" ht="30">
      <c r="A27" s="26"/>
      <c r="B27" s="26"/>
      <c r="C27" s="26"/>
      <c r="D27" s="26"/>
      <c r="E27" s="26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7"/>
      <c r="S27" s="37"/>
      <c r="T27" s="25"/>
      <c r="U27" s="25"/>
      <c r="V27" s="25"/>
      <c r="W27" s="25"/>
      <c r="X27" s="25"/>
      <c r="Y27" s="25"/>
      <c r="Z27" s="25"/>
      <c r="AA27" s="22" t="s">
        <v>34</v>
      </c>
      <c r="AB27" s="25"/>
      <c r="AC27" s="25"/>
      <c r="AD27" s="25"/>
      <c r="AE27" s="25"/>
      <c r="AF27" s="25"/>
      <c r="AG27" s="25"/>
      <c r="AH27" s="25"/>
      <c r="AI27" s="2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5"/>
      <c r="BG27" s="5"/>
      <c r="BH27" s="5"/>
      <c r="BI27" s="5"/>
    </row>
    <row r="28" spans="1:61" s="6" customFormat="1" ht="24.75" customHeight="1" thickBo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5"/>
      <c r="BG28" s="5"/>
      <c r="BH28" s="5"/>
      <c r="BI28" s="5"/>
    </row>
    <row r="29" spans="1:61" s="6" customFormat="1" ht="32.25" customHeight="1" thickBot="1">
      <c r="A29" s="288" t="s">
        <v>94</v>
      </c>
      <c r="B29" s="291" t="s">
        <v>320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3"/>
      <c r="P29" s="300" t="s">
        <v>8</v>
      </c>
      <c r="Q29" s="301"/>
      <c r="R29" s="300" t="s">
        <v>9</v>
      </c>
      <c r="S29" s="302"/>
      <c r="T29" s="305" t="s">
        <v>10</v>
      </c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7"/>
      <c r="AF29" s="308" t="s">
        <v>33</v>
      </c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10"/>
      <c r="BD29" s="311" t="s">
        <v>23</v>
      </c>
      <c r="BE29" s="312"/>
      <c r="BF29" s="317" t="s">
        <v>95</v>
      </c>
      <c r="BG29" s="318"/>
      <c r="BH29" s="318"/>
      <c r="BI29" s="319"/>
    </row>
    <row r="30" spans="1:61" ht="33" customHeight="1" thickBot="1">
      <c r="A30" s="289"/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67"/>
      <c r="Q30" s="264"/>
      <c r="R30" s="267"/>
      <c r="S30" s="303"/>
      <c r="T30" s="263" t="s">
        <v>5</v>
      </c>
      <c r="U30" s="264"/>
      <c r="V30" s="267" t="s">
        <v>11</v>
      </c>
      <c r="W30" s="268"/>
      <c r="X30" s="329" t="s">
        <v>12</v>
      </c>
      <c r="Y30" s="330"/>
      <c r="Z30" s="330"/>
      <c r="AA30" s="330"/>
      <c r="AB30" s="330"/>
      <c r="AC30" s="330"/>
      <c r="AD30" s="330"/>
      <c r="AE30" s="331"/>
      <c r="AF30" s="332" t="s">
        <v>14</v>
      </c>
      <c r="AG30" s="327"/>
      <c r="AH30" s="327"/>
      <c r="AI30" s="327"/>
      <c r="AJ30" s="327"/>
      <c r="AK30" s="328"/>
      <c r="AL30" s="332" t="s">
        <v>15</v>
      </c>
      <c r="AM30" s="327"/>
      <c r="AN30" s="327"/>
      <c r="AO30" s="327"/>
      <c r="AP30" s="327"/>
      <c r="AQ30" s="328"/>
      <c r="AR30" s="332" t="s">
        <v>16</v>
      </c>
      <c r="AS30" s="327"/>
      <c r="AT30" s="327"/>
      <c r="AU30" s="327"/>
      <c r="AV30" s="327"/>
      <c r="AW30" s="328"/>
      <c r="AX30" s="332" t="s">
        <v>118</v>
      </c>
      <c r="AY30" s="327"/>
      <c r="AZ30" s="327"/>
      <c r="BA30" s="327"/>
      <c r="BB30" s="327"/>
      <c r="BC30" s="328"/>
      <c r="BD30" s="313"/>
      <c r="BE30" s="314"/>
      <c r="BF30" s="320"/>
      <c r="BG30" s="321"/>
      <c r="BH30" s="321"/>
      <c r="BI30" s="322"/>
    </row>
    <row r="31" spans="1:61" ht="55.5" customHeight="1" thickBot="1">
      <c r="A31" s="289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6"/>
      <c r="P31" s="267"/>
      <c r="Q31" s="264"/>
      <c r="R31" s="267"/>
      <c r="S31" s="303"/>
      <c r="T31" s="263"/>
      <c r="U31" s="264"/>
      <c r="V31" s="267"/>
      <c r="W31" s="268"/>
      <c r="X31" s="333" t="s">
        <v>13</v>
      </c>
      <c r="Y31" s="264"/>
      <c r="Z31" s="334" t="s">
        <v>96</v>
      </c>
      <c r="AA31" s="264"/>
      <c r="AB31" s="334" t="s">
        <v>97</v>
      </c>
      <c r="AC31" s="264"/>
      <c r="AD31" s="267" t="s">
        <v>71</v>
      </c>
      <c r="AE31" s="303"/>
      <c r="AF31" s="326" t="s">
        <v>143</v>
      </c>
      <c r="AG31" s="327"/>
      <c r="AH31" s="328"/>
      <c r="AI31" s="326" t="s">
        <v>147</v>
      </c>
      <c r="AJ31" s="327"/>
      <c r="AK31" s="328"/>
      <c r="AL31" s="326" t="s">
        <v>144</v>
      </c>
      <c r="AM31" s="327"/>
      <c r="AN31" s="328"/>
      <c r="AO31" s="326" t="s">
        <v>148</v>
      </c>
      <c r="AP31" s="327"/>
      <c r="AQ31" s="328"/>
      <c r="AR31" s="326" t="s">
        <v>145</v>
      </c>
      <c r="AS31" s="327"/>
      <c r="AT31" s="328"/>
      <c r="AU31" s="326" t="s">
        <v>149</v>
      </c>
      <c r="AV31" s="327"/>
      <c r="AW31" s="328"/>
      <c r="AX31" s="326" t="s">
        <v>315</v>
      </c>
      <c r="AY31" s="327"/>
      <c r="AZ31" s="328"/>
      <c r="BA31" s="326" t="s">
        <v>316</v>
      </c>
      <c r="BB31" s="327"/>
      <c r="BC31" s="328"/>
      <c r="BD31" s="313"/>
      <c r="BE31" s="314"/>
      <c r="BF31" s="320"/>
      <c r="BG31" s="321"/>
      <c r="BH31" s="321"/>
      <c r="BI31" s="322"/>
    </row>
    <row r="32" spans="1:61" ht="123.75" customHeight="1" thickBot="1">
      <c r="A32" s="290"/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69"/>
      <c r="Q32" s="266"/>
      <c r="R32" s="269"/>
      <c r="S32" s="304"/>
      <c r="T32" s="265"/>
      <c r="U32" s="266"/>
      <c r="V32" s="269"/>
      <c r="W32" s="270"/>
      <c r="X32" s="304"/>
      <c r="Y32" s="266"/>
      <c r="Z32" s="269"/>
      <c r="AA32" s="266"/>
      <c r="AB32" s="269"/>
      <c r="AC32" s="266"/>
      <c r="AD32" s="269"/>
      <c r="AE32" s="304"/>
      <c r="AF32" s="80" t="s">
        <v>3</v>
      </c>
      <c r="AG32" s="81" t="s">
        <v>17</v>
      </c>
      <c r="AH32" s="82" t="s">
        <v>18</v>
      </c>
      <c r="AI32" s="80" t="s">
        <v>3</v>
      </c>
      <c r="AJ32" s="81" t="s">
        <v>17</v>
      </c>
      <c r="AK32" s="82" t="s">
        <v>18</v>
      </c>
      <c r="AL32" s="80" t="s">
        <v>3</v>
      </c>
      <c r="AM32" s="81" t="s">
        <v>17</v>
      </c>
      <c r="AN32" s="82" t="s">
        <v>18</v>
      </c>
      <c r="AO32" s="80" t="s">
        <v>3</v>
      </c>
      <c r="AP32" s="81" t="s">
        <v>17</v>
      </c>
      <c r="AQ32" s="82" t="s">
        <v>18</v>
      </c>
      <c r="AR32" s="80" t="s">
        <v>3</v>
      </c>
      <c r="AS32" s="81" t="s">
        <v>17</v>
      </c>
      <c r="AT32" s="82" t="s">
        <v>18</v>
      </c>
      <c r="AU32" s="83" t="s">
        <v>3</v>
      </c>
      <c r="AV32" s="84" t="s">
        <v>17</v>
      </c>
      <c r="AW32" s="85" t="s">
        <v>18</v>
      </c>
      <c r="AX32" s="80" t="s">
        <v>3</v>
      </c>
      <c r="AY32" s="81" t="s">
        <v>17</v>
      </c>
      <c r="AZ32" s="82" t="s">
        <v>18</v>
      </c>
      <c r="BA32" s="80" t="s">
        <v>3</v>
      </c>
      <c r="BB32" s="81" t="s">
        <v>17</v>
      </c>
      <c r="BC32" s="82" t="s">
        <v>18</v>
      </c>
      <c r="BD32" s="315"/>
      <c r="BE32" s="316"/>
      <c r="BF32" s="323"/>
      <c r="BG32" s="324"/>
      <c r="BH32" s="324"/>
      <c r="BI32" s="325"/>
    </row>
    <row r="33" spans="1:63" ht="39.75" customHeight="1" thickBot="1">
      <c r="A33" s="104">
        <v>1</v>
      </c>
      <c r="B33" s="335" t="s">
        <v>136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7"/>
      <c r="P33" s="338"/>
      <c r="Q33" s="339"/>
      <c r="R33" s="338"/>
      <c r="S33" s="340"/>
      <c r="T33" s="341">
        <f>T35+T36+T37+T38+T40+T41+T42+T43+T45+T47+T49+T51+T52+T53+T54+T55+T56+T58+T59+T60+T62+T64+T66+T67+T68++T70+T71+T73+T74+T76+T77+T79+T80+T81</f>
        <v>5316.01372</v>
      </c>
      <c r="U33" s="342"/>
      <c r="V33" s="343">
        <f>V35+V36+V37+V38+V40+V41+V42+V45+V47+V49+V51+V52+V53+V54+V55+V56+V58+V59+V60+V62+V64+V66+V67+V68++V70+V71+V73+V74+V76+V77+V79+V80+V81</f>
        <v>2595.87</v>
      </c>
      <c r="W33" s="344"/>
      <c r="X33" s="341">
        <f>X35+X36+X37+X38+X40+X41+X42+X45+X47+X49+X51+X52+X53+X54+X55+X56+X58+X59+X60+X62+X64+X66+X67+X68++X70+X71+X73+X74+X76+X77+X79+X80+X81</f>
        <v>1411.95</v>
      </c>
      <c r="Y33" s="342"/>
      <c r="Z33" s="343">
        <f>Z35+Z36+Z37+Z38+Z40+Z41+Z42+Z45+Z47+Z49+Z51+Z52+Z53+Z54+Z55+Z56+Z58+Z59+Z60+Z62+Z64+Z66+Z67+Z68++Z70+Z71+Z73+Z74+Z76+Z77+Z79+Z80+Z81</f>
        <v>528</v>
      </c>
      <c r="AA33" s="345"/>
      <c r="AB33" s="343">
        <f>AB35+AB36+AB37+AB38+AB40+AB41+AB42+AB45+AB47+AB49+AB51+AB52+AB53+AB54+AB55+AB56+AB58+AB59+AB60+AB62+AB64+AB66+AB67+AB68++AB70+AB71+AB73+AB74+AB76+AB77+AB79+AB80+AB81</f>
        <v>576.02</v>
      </c>
      <c r="AC33" s="345"/>
      <c r="AD33" s="343">
        <f>AD35+AD36+AD37+AD38+AD40+AD41+AD42+AD45+AD47+AD49+AD51+AD52+AD53+AD54+AD55+AD56+AD58+AD59+AD60+AD62+AD64+AD66+AD67+AD68++AD70+AD71+AD73+AD74+AD76+AD77+AD79+AD80+AD81</f>
        <v>80</v>
      </c>
      <c r="AE33" s="344"/>
      <c r="AF33" s="106">
        <f>SUM(AF34:AF81)</f>
        <v>1115.95572</v>
      </c>
      <c r="AG33" s="106">
        <f aca="true" t="shared" si="1" ref="AG33:BC33">SUM(AG34:AG81)</f>
        <v>531.895</v>
      </c>
      <c r="AH33" s="106">
        <f t="shared" si="1"/>
        <v>30.00389880917536</v>
      </c>
      <c r="AI33" s="106">
        <f t="shared" si="1"/>
        <v>974.025</v>
      </c>
      <c r="AJ33" s="106">
        <f t="shared" si="1"/>
        <v>493.975</v>
      </c>
      <c r="AK33" s="105">
        <f t="shared" si="1"/>
        <v>27.002540399428504</v>
      </c>
      <c r="AL33" s="106">
        <f t="shared" si="1"/>
        <v>860.06</v>
      </c>
      <c r="AM33" s="106">
        <f t="shared" si="1"/>
        <v>420.02</v>
      </c>
      <c r="AN33" s="106">
        <f t="shared" si="1"/>
        <v>23.00037161303415</v>
      </c>
      <c r="AO33" s="106">
        <f t="shared" si="1"/>
        <v>718.048</v>
      </c>
      <c r="AP33" s="106">
        <f t="shared" si="1"/>
        <v>370</v>
      </c>
      <c r="AQ33" s="106">
        <f t="shared" si="1"/>
        <v>16.9969296321317</v>
      </c>
      <c r="AR33" s="106">
        <f t="shared" si="1"/>
        <v>647.925</v>
      </c>
      <c r="AS33" s="106">
        <f t="shared" si="1"/>
        <v>317.97999999999996</v>
      </c>
      <c r="AT33" s="106">
        <f t="shared" si="1"/>
        <v>16.993943087633788</v>
      </c>
      <c r="AU33" s="106">
        <f t="shared" si="1"/>
        <v>408</v>
      </c>
      <c r="AV33" s="106">
        <f t="shared" si="1"/>
        <v>192</v>
      </c>
      <c r="AW33" s="106">
        <f t="shared" si="1"/>
        <v>10.012070636508955</v>
      </c>
      <c r="AX33" s="106">
        <f t="shared" si="1"/>
        <v>492</v>
      </c>
      <c r="AY33" s="106">
        <f t="shared" si="1"/>
        <v>220</v>
      </c>
      <c r="AZ33" s="106">
        <f t="shared" si="1"/>
        <v>15</v>
      </c>
      <c r="BA33" s="106">
        <f t="shared" si="1"/>
        <v>100</v>
      </c>
      <c r="BB33" s="106">
        <f t="shared" si="1"/>
        <v>50</v>
      </c>
      <c r="BC33" s="106">
        <f t="shared" si="1"/>
        <v>3.0030030030030033</v>
      </c>
      <c r="BD33" s="346">
        <f>BD35+BD36+BD37+BD38+BD40+BD41+BD42+BD43+BD45+BD47+BD49+BD51+BD52+BD53+BD54+BD55+BD56+BD58+BD59+BD60+BD62+BD64+BD66+BD67+BD68+BD70+BD71+BD73+BD74+BD76+BD77+BD79+BD80+BD81</f>
        <v>142.01569835738604</v>
      </c>
      <c r="BE33" s="347"/>
      <c r="BF33" s="537">
        <f>BD33*100/(BD33+BD89)</f>
        <v>68.26806570601767</v>
      </c>
      <c r="BG33" s="538"/>
      <c r="BH33" s="539" t="s">
        <v>226</v>
      </c>
      <c r="BI33" s="540"/>
      <c r="BJ33" s="66"/>
      <c r="BK33" s="67"/>
    </row>
    <row r="34" spans="1:67" ht="36" customHeight="1">
      <c r="A34" s="107"/>
      <c r="B34" s="353" t="s">
        <v>322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5"/>
      <c r="P34" s="356"/>
      <c r="Q34" s="357"/>
      <c r="R34" s="356"/>
      <c r="S34" s="358"/>
      <c r="T34" s="359"/>
      <c r="U34" s="360"/>
      <c r="V34" s="271"/>
      <c r="W34" s="272"/>
      <c r="X34" s="359"/>
      <c r="Y34" s="360"/>
      <c r="Z34" s="271"/>
      <c r="AA34" s="361"/>
      <c r="AB34" s="271"/>
      <c r="AC34" s="361"/>
      <c r="AD34" s="360"/>
      <c r="AE34" s="362"/>
      <c r="AF34" s="108"/>
      <c r="AG34" s="109"/>
      <c r="AH34" s="110"/>
      <c r="AI34" s="108"/>
      <c r="AJ34" s="109"/>
      <c r="AK34" s="110"/>
      <c r="AL34" s="108"/>
      <c r="AM34" s="109"/>
      <c r="AN34" s="110"/>
      <c r="AO34" s="108"/>
      <c r="AP34" s="109"/>
      <c r="AQ34" s="110"/>
      <c r="AR34" s="108"/>
      <c r="AS34" s="109"/>
      <c r="AT34" s="110"/>
      <c r="AU34" s="108"/>
      <c r="AV34" s="109"/>
      <c r="AW34" s="110"/>
      <c r="AX34" s="108"/>
      <c r="AY34" s="109"/>
      <c r="AZ34" s="110"/>
      <c r="BA34" s="108"/>
      <c r="BB34" s="109"/>
      <c r="BC34" s="110"/>
      <c r="BD34" s="241"/>
      <c r="BE34" s="242"/>
      <c r="BF34" s="363"/>
      <c r="BG34" s="364"/>
      <c r="BH34" s="364"/>
      <c r="BI34" s="365"/>
      <c r="BO34" s="38"/>
    </row>
    <row r="35" spans="1:61" ht="35.25" customHeight="1">
      <c r="A35" s="111" t="s">
        <v>291</v>
      </c>
      <c r="B35" s="229" t="s">
        <v>137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66"/>
      <c r="P35" s="214">
        <v>1</v>
      </c>
      <c r="Q35" s="205"/>
      <c r="R35" s="214"/>
      <c r="S35" s="204"/>
      <c r="T35" s="261">
        <f>SUM(AF35,AI35,AL35,AO35,AR35,AU35,AX35,BA35)</f>
        <v>144.02</v>
      </c>
      <c r="U35" s="221"/>
      <c r="V35" s="222">
        <f>SUM(AG35,AJ35,AM35,AP35,AS35,AV35,AY35,BB35)</f>
        <v>76</v>
      </c>
      <c r="W35" s="223"/>
      <c r="X35" s="367">
        <v>52</v>
      </c>
      <c r="Y35" s="368"/>
      <c r="Z35" s="368"/>
      <c r="AA35" s="368"/>
      <c r="AB35" s="368"/>
      <c r="AC35" s="368"/>
      <c r="AD35" s="368">
        <v>24</v>
      </c>
      <c r="AE35" s="369"/>
      <c r="AF35" s="86">
        <f>AG35*1.895</f>
        <v>144.02</v>
      </c>
      <c r="AG35" s="87">
        <f>X35+AD35</f>
        <v>76</v>
      </c>
      <c r="AH35" s="88">
        <f>AF35/36</f>
        <v>4.000555555555556</v>
      </c>
      <c r="AI35" s="86"/>
      <c r="AJ35" s="87"/>
      <c r="AK35" s="94"/>
      <c r="AL35" s="86"/>
      <c r="AM35" s="87"/>
      <c r="AN35" s="94"/>
      <c r="AO35" s="86"/>
      <c r="AP35" s="87"/>
      <c r="AQ35" s="94"/>
      <c r="AR35" s="86"/>
      <c r="AS35" s="87"/>
      <c r="AT35" s="94"/>
      <c r="AU35" s="86"/>
      <c r="AV35" s="87"/>
      <c r="AW35" s="94"/>
      <c r="AX35" s="86"/>
      <c r="AY35" s="87"/>
      <c r="AZ35" s="94"/>
      <c r="BA35" s="86"/>
      <c r="BB35" s="87"/>
      <c r="BC35" s="94"/>
      <c r="BD35" s="216">
        <f>SUM(AH35,AK35,AN35,AQ35,AT35,AW35,AZ35,BC35)</f>
        <v>4.000555555555556</v>
      </c>
      <c r="BE35" s="217"/>
      <c r="BF35" s="350" t="s">
        <v>204</v>
      </c>
      <c r="BG35" s="351"/>
      <c r="BH35" s="351"/>
      <c r="BI35" s="352"/>
    </row>
    <row r="36" spans="1:61" ht="30" customHeight="1">
      <c r="A36" s="111" t="s">
        <v>106</v>
      </c>
      <c r="B36" s="229" t="s">
        <v>349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66"/>
      <c r="P36" s="214"/>
      <c r="Q36" s="205"/>
      <c r="R36" s="214" t="s">
        <v>359</v>
      </c>
      <c r="S36" s="215"/>
      <c r="T36" s="261">
        <f>SUM(AF36,AI36,AL36,AO36,AR36,AU36,AX36,BA36)</f>
        <v>71.995</v>
      </c>
      <c r="U36" s="221"/>
      <c r="V36" s="222">
        <f>SUM(AG36,AJ36,AM36,AP36,AS36,AV36,AY36,BB36)</f>
        <v>34</v>
      </c>
      <c r="W36" s="223"/>
      <c r="X36" s="367">
        <v>18</v>
      </c>
      <c r="Y36" s="368"/>
      <c r="Z36" s="368"/>
      <c r="AA36" s="368"/>
      <c r="AB36" s="368"/>
      <c r="AC36" s="368"/>
      <c r="AD36" s="368">
        <v>16</v>
      </c>
      <c r="AE36" s="369"/>
      <c r="AF36" s="95">
        <f>AG36*2.1175</f>
        <v>71.995</v>
      </c>
      <c r="AG36" s="87">
        <f>X36+AD36</f>
        <v>34</v>
      </c>
      <c r="AH36" s="88">
        <f>AF36/36</f>
        <v>1.9998611111111113</v>
      </c>
      <c r="AI36" s="86"/>
      <c r="AJ36" s="87"/>
      <c r="AK36" s="94"/>
      <c r="AL36" s="86"/>
      <c r="AM36" s="87"/>
      <c r="AN36" s="94"/>
      <c r="AO36" s="86"/>
      <c r="AP36" s="87"/>
      <c r="AQ36" s="94"/>
      <c r="AR36" s="86"/>
      <c r="AS36" s="87"/>
      <c r="AT36" s="94"/>
      <c r="AU36" s="86"/>
      <c r="AV36" s="87"/>
      <c r="AW36" s="94"/>
      <c r="AX36" s="86"/>
      <c r="AY36" s="87"/>
      <c r="AZ36" s="94"/>
      <c r="BA36" s="86"/>
      <c r="BB36" s="87"/>
      <c r="BC36" s="94"/>
      <c r="BD36" s="260">
        <f>SUM(AH36,AK36,AN36,AQ36,AT36,AW36,AZ36,BC36)</f>
        <v>1.9998611111111113</v>
      </c>
      <c r="BE36" s="215"/>
      <c r="BF36" s="350" t="s">
        <v>205</v>
      </c>
      <c r="BG36" s="351"/>
      <c r="BH36" s="351"/>
      <c r="BI36" s="352"/>
    </row>
    <row r="37" spans="1:61" ht="32.25" customHeight="1">
      <c r="A37" s="112" t="s">
        <v>107</v>
      </c>
      <c r="B37" s="229" t="s">
        <v>361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66"/>
      <c r="P37" s="214"/>
      <c r="Q37" s="204"/>
      <c r="R37" s="214" t="s">
        <v>360</v>
      </c>
      <c r="S37" s="204"/>
      <c r="T37" s="261">
        <f>SUM(AF37,AI37,AL37,AO37,AR37,AU37,AX37,BA37)</f>
        <v>71.995</v>
      </c>
      <c r="U37" s="221"/>
      <c r="V37" s="222">
        <f>SUM(AG37,AJ37,AM37,AP37,AS37,AV37,AY37,BB37)</f>
        <v>34</v>
      </c>
      <c r="W37" s="223"/>
      <c r="X37" s="367">
        <v>18</v>
      </c>
      <c r="Y37" s="368"/>
      <c r="Z37" s="368"/>
      <c r="AA37" s="368"/>
      <c r="AB37" s="368"/>
      <c r="AC37" s="368"/>
      <c r="AD37" s="368">
        <v>16</v>
      </c>
      <c r="AE37" s="369"/>
      <c r="AF37" s="86"/>
      <c r="AG37" s="87"/>
      <c r="AH37" s="88"/>
      <c r="AI37" s="86">
        <f>AJ37*2.1175</f>
        <v>71.995</v>
      </c>
      <c r="AJ37" s="87">
        <f>X37+AD37</f>
        <v>34</v>
      </c>
      <c r="AK37" s="88">
        <f>AI37/36</f>
        <v>1.9998611111111113</v>
      </c>
      <c r="AL37" s="86"/>
      <c r="AM37" s="87"/>
      <c r="AN37" s="94"/>
      <c r="AO37" s="86"/>
      <c r="AP37" s="87"/>
      <c r="AQ37" s="94"/>
      <c r="AR37" s="86"/>
      <c r="AS37" s="87"/>
      <c r="AT37" s="94"/>
      <c r="AU37" s="86"/>
      <c r="AV37" s="87"/>
      <c r="AW37" s="94"/>
      <c r="AX37" s="86"/>
      <c r="AY37" s="87"/>
      <c r="AZ37" s="94"/>
      <c r="BA37" s="86"/>
      <c r="BB37" s="87"/>
      <c r="BC37" s="94"/>
      <c r="BD37" s="260">
        <f>SUM(AH37,AK37,AN37,AQ37,AT37,AW37,AZ37,BC37)</f>
        <v>1.9998611111111113</v>
      </c>
      <c r="BE37" s="215"/>
      <c r="BF37" s="350" t="s">
        <v>206</v>
      </c>
      <c r="BG37" s="351"/>
      <c r="BH37" s="351"/>
      <c r="BI37" s="352"/>
    </row>
    <row r="38" spans="1:61" ht="30.75" customHeight="1">
      <c r="A38" s="112" t="s">
        <v>115</v>
      </c>
      <c r="B38" s="229" t="s">
        <v>362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66"/>
      <c r="P38" s="214">
        <v>7</v>
      </c>
      <c r="Q38" s="204"/>
      <c r="R38" s="214"/>
      <c r="S38" s="204"/>
      <c r="T38" s="261">
        <f>SUM(AF38,AI38,AL38,AO38,AR38,AU38,AX38,BA38)</f>
        <v>144</v>
      </c>
      <c r="U38" s="221"/>
      <c r="V38" s="222">
        <f>SUM(AG38,AJ38,AM38,AP38,AS38,AV38,AY38,BB38)</f>
        <v>60</v>
      </c>
      <c r="W38" s="223"/>
      <c r="X38" s="367">
        <v>36</v>
      </c>
      <c r="Y38" s="368"/>
      <c r="Z38" s="368"/>
      <c r="AA38" s="368"/>
      <c r="AB38" s="368"/>
      <c r="AC38" s="368"/>
      <c r="AD38" s="368">
        <v>24</v>
      </c>
      <c r="AE38" s="369"/>
      <c r="AF38" s="86"/>
      <c r="AG38" s="87"/>
      <c r="AH38" s="88"/>
      <c r="AI38" s="86"/>
      <c r="AJ38" s="87"/>
      <c r="AK38" s="94"/>
      <c r="AL38" s="86"/>
      <c r="AM38" s="87"/>
      <c r="AN38" s="94"/>
      <c r="AO38" s="86"/>
      <c r="AP38" s="87"/>
      <c r="AQ38" s="94"/>
      <c r="AR38" s="86"/>
      <c r="AS38" s="87"/>
      <c r="AT38" s="94"/>
      <c r="AU38" s="95"/>
      <c r="AV38" s="87"/>
      <c r="AW38" s="88"/>
      <c r="AX38" s="86">
        <f>AY38*2.4</f>
        <v>144</v>
      </c>
      <c r="AY38" s="113">
        <f>H21*(2+1.75)</f>
        <v>60</v>
      </c>
      <c r="AZ38" s="88">
        <f>AX38/36</f>
        <v>4</v>
      </c>
      <c r="BA38" s="86"/>
      <c r="BB38" s="87"/>
      <c r="BC38" s="94"/>
      <c r="BD38" s="260">
        <f>SUM(AH38,AK38,AN38,AQ38,AT38,AW38,AZ38,BC38)</f>
        <v>4</v>
      </c>
      <c r="BE38" s="215"/>
      <c r="BF38" s="350" t="s">
        <v>207</v>
      </c>
      <c r="BG38" s="351"/>
      <c r="BH38" s="351"/>
      <c r="BI38" s="352"/>
    </row>
    <row r="39" spans="1:61" ht="33" customHeight="1">
      <c r="A39" s="114"/>
      <c r="B39" s="370" t="s">
        <v>363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3"/>
      <c r="Q39" s="374"/>
      <c r="R39" s="214"/>
      <c r="S39" s="204"/>
      <c r="T39" s="216"/>
      <c r="U39" s="205"/>
      <c r="V39" s="375"/>
      <c r="W39" s="205"/>
      <c r="X39" s="216"/>
      <c r="Y39" s="205"/>
      <c r="Z39" s="212"/>
      <c r="AA39" s="205"/>
      <c r="AB39" s="375"/>
      <c r="AC39" s="205"/>
      <c r="AD39" s="247"/>
      <c r="AE39" s="360"/>
      <c r="AF39" s="86"/>
      <c r="AG39" s="87"/>
      <c r="AH39" s="94"/>
      <c r="AI39" s="86"/>
      <c r="AJ39" s="87"/>
      <c r="AK39" s="94"/>
      <c r="AL39" s="86"/>
      <c r="AM39" s="87"/>
      <c r="AN39" s="94"/>
      <c r="AO39" s="86"/>
      <c r="AP39" s="87"/>
      <c r="AQ39" s="94"/>
      <c r="AR39" s="86"/>
      <c r="AS39" s="87"/>
      <c r="AT39" s="94"/>
      <c r="AU39" s="86"/>
      <c r="AV39" s="87"/>
      <c r="AW39" s="94"/>
      <c r="AX39" s="86"/>
      <c r="AY39" s="87"/>
      <c r="AZ39" s="94"/>
      <c r="BA39" s="86"/>
      <c r="BB39" s="87"/>
      <c r="BC39" s="94"/>
      <c r="BD39" s="216"/>
      <c r="BE39" s="217"/>
      <c r="BF39" s="350"/>
      <c r="BG39" s="351"/>
      <c r="BH39" s="351"/>
      <c r="BI39" s="352"/>
    </row>
    <row r="40" spans="1:62" ht="30.75" customHeight="1">
      <c r="A40" s="112" t="s">
        <v>116</v>
      </c>
      <c r="B40" s="229" t="s">
        <v>150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66"/>
      <c r="P40" s="214" t="s">
        <v>327</v>
      </c>
      <c r="Q40" s="205"/>
      <c r="R40" s="214"/>
      <c r="S40" s="215"/>
      <c r="T40" s="261">
        <f>SUM(AF40,AI40,AL40,AO40,AR40,AU40,AX40,BA40)</f>
        <v>476</v>
      </c>
      <c r="U40" s="221"/>
      <c r="V40" s="222">
        <f>SUM(AG40,AJ40,AM40,AP40,AS40,AV40,AY40,BB40)</f>
        <v>238</v>
      </c>
      <c r="W40" s="223"/>
      <c r="X40" s="260">
        <v>118</v>
      </c>
      <c r="Y40" s="205"/>
      <c r="Z40" s="214"/>
      <c r="AA40" s="205"/>
      <c r="AB40" s="214">
        <v>120</v>
      </c>
      <c r="AC40" s="205"/>
      <c r="AD40" s="214"/>
      <c r="AE40" s="215"/>
      <c r="AF40" s="86">
        <f>AG40*2</f>
        <v>136</v>
      </c>
      <c r="AG40" s="87">
        <v>68</v>
      </c>
      <c r="AH40" s="88">
        <f>AF40/45.3</f>
        <v>3.002207505518764</v>
      </c>
      <c r="AI40" s="86">
        <f>AJ40*2</f>
        <v>204</v>
      </c>
      <c r="AJ40" s="87">
        <v>102</v>
      </c>
      <c r="AK40" s="88">
        <f>AI40/34</f>
        <v>6</v>
      </c>
      <c r="AL40" s="95">
        <f>AM40*2</f>
        <v>136</v>
      </c>
      <c r="AM40" s="87">
        <v>68</v>
      </c>
      <c r="AN40" s="88">
        <f>AL40/45.4</f>
        <v>2.995594713656388</v>
      </c>
      <c r="AO40" s="86"/>
      <c r="AP40" s="87"/>
      <c r="AQ40" s="94"/>
      <c r="AR40" s="86"/>
      <c r="AS40" s="87"/>
      <c r="AT40" s="94"/>
      <c r="AU40" s="86"/>
      <c r="AV40" s="87"/>
      <c r="AW40" s="94"/>
      <c r="AX40" s="86"/>
      <c r="AY40" s="87"/>
      <c r="AZ40" s="94"/>
      <c r="BA40" s="86"/>
      <c r="BB40" s="87"/>
      <c r="BC40" s="94"/>
      <c r="BD40" s="216">
        <f>SUM(AH40,AK40,AN40,AQ40,AT40,AW40,AZ40,BC40)</f>
        <v>11.997802219175153</v>
      </c>
      <c r="BE40" s="217"/>
      <c r="BF40" s="244" t="s">
        <v>210</v>
      </c>
      <c r="BG40" s="245"/>
      <c r="BH40" s="245"/>
      <c r="BI40" s="246"/>
      <c r="BJ40" s="97"/>
    </row>
    <row r="41" spans="1:61" ht="31.5" customHeight="1">
      <c r="A41" s="111" t="s">
        <v>117</v>
      </c>
      <c r="B41" s="180" t="s">
        <v>175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214"/>
      <c r="Q41" s="205"/>
      <c r="R41" s="214">
        <v>3</v>
      </c>
      <c r="S41" s="204"/>
      <c r="T41" s="261">
        <v>100</v>
      </c>
      <c r="U41" s="221"/>
      <c r="V41" s="222">
        <f>SUM(AG41,AJ41,AM41,AP41,AS41,AV41,AY41,BB41)</f>
        <v>50</v>
      </c>
      <c r="W41" s="223"/>
      <c r="X41" s="204">
        <v>34</v>
      </c>
      <c r="Y41" s="205"/>
      <c r="Z41" s="214"/>
      <c r="AA41" s="205"/>
      <c r="AB41" s="214">
        <v>16</v>
      </c>
      <c r="AC41" s="205"/>
      <c r="AD41" s="214"/>
      <c r="AE41" s="204"/>
      <c r="AF41" s="86"/>
      <c r="AG41" s="87"/>
      <c r="AH41" s="94"/>
      <c r="AI41" s="86"/>
      <c r="AJ41" s="87"/>
      <c r="AK41" s="94"/>
      <c r="AL41" s="95">
        <f>AM41*2</f>
        <v>100</v>
      </c>
      <c r="AM41" s="87">
        <f>X41+Z41+AB41</f>
        <v>50</v>
      </c>
      <c r="AN41" s="88">
        <f>AL41/33.3</f>
        <v>3.0030030030030033</v>
      </c>
      <c r="AO41" s="86"/>
      <c r="AP41" s="87"/>
      <c r="AQ41" s="88"/>
      <c r="AR41" s="86"/>
      <c r="AS41" s="87"/>
      <c r="AT41" s="94"/>
      <c r="AU41" s="86"/>
      <c r="AV41" s="87"/>
      <c r="AW41" s="94"/>
      <c r="AX41" s="86"/>
      <c r="AY41" s="87"/>
      <c r="AZ41" s="94"/>
      <c r="BA41" s="86"/>
      <c r="BB41" s="87"/>
      <c r="BC41" s="94"/>
      <c r="BD41" s="216">
        <f>SUM(AH41,AK41,AN41,AQ41,AT41,AW41,AZ41,BC41)</f>
        <v>3.0030030030030033</v>
      </c>
      <c r="BE41" s="217"/>
      <c r="BF41" s="244" t="s">
        <v>210</v>
      </c>
      <c r="BG41" s="245"/>
      <c r="BH41" s="245"/>
      <c r="BI41" s="246"/>
    </row>
    <row r="42" spans="1:61" ht="29.25" customHeight="1">
      <c r="A42" s="183" t="s">
        <v>119</v>
      </c>
      <c r="B42" s="218" t="s">
        <v>176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20"/>
      <c r="P42" s="214">
        <v>1</v>
      </c>
      <c r="Q42" s="205"/>
      <c r="R42" s="214"/>
      <c r="S42" s="204"/>
      <c r="T42" s="185">
        <f>SUM(AF42,AI42,AL42,AO42,AR42,AU42,AX42,BA42)</f>
        <v>179.99072</v>
      </c>
      <c r="U42" s="186"/>
      <c r="V42" s="187">
        <f>SUM(AG42,AJ42,AM42,AP42,AS42,AV42,AY42,BB42)</f>
        <v>101.92</v>
      </c>
      <c r="W42" s="188"/>
      <c r="X42" s="204">
        <v>34</v>
      </c>
      <c r="Y42" s="205"/>
      <c r="Z42" s="212">
        <f>(H18*2)+(AC18*2.12)</f>
        <v>67.92</v>
      </c>
      <c r="AA42" s="213"/>
      <c r="AB42" s="214"/>
      <c r="AC42" s="205"/>
      <c r="AD42" s="214"/>
      <c r="AE42" s="204"/>
      <c r="AF42" s="86">
        <f>AG42*1.766</f>
        <v>179.99072</v>
      </c>
      <c r="AG42" s="113">
        <f>X42+Z42+AB42</f>
        <v>101.92</v>
      </c>
      <c r="AH42" s="88">
        <f>AF42/36</f>
        <v>4.999742222222222</v>
      </c>
      <c r="AI42" s="95"/>
      <c r="AJ42" s="87"/>
      <c r="AK42" s="88"/>
      <c r="AL42" s="86"/>
      <c r="AM42" s="87"/>
      <c r="AN42" s="94"/>
      <c r="AO42" s="86"/>
      <c r="AP42" s="87"/>
      <c r="AQ42" s="94"/>
      <c r="AR42" s="86"/>
      <c r="AS42" s="87"/>
      <c r="AT42" s="94"/>
      <c r="AU42" s="86"/>
      <c r="AV42" s="87"/>
      <c r="AW42" s="94"/>
      <c r="AX42" s="86"/>
      <c r="AY42" s="87"/>
      <c r="AZ42" s="94"/>
      <c r="BA42" s="86"/>
      <c r="BB42" s="87"/>
      <c r="BC42" s="94"/>
      <c r="BD42" s="216">
        <f>SUM(AH42,AK42,AN42,AQ42,AT42,AW42,AZ42,BC42)</f>
        <v>4.999742222222222</v>
      </c>
      <c r="BE42" s="217"/>
      <c r="BF42" s="206" t="s">
        <v>212</v>
      </c>
      <c r="BG42" s="207"/>
      <c r="BH42" s="207"/>
      <c r="BI42" s="208"/>
    </row>
    <row r="43" spans="1:61" ht="57.75" customHeight="1">
      <c r="A43" s="184"/>
      <c r="B43" s="180" t="s">
        <v>423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2"/>
      <c r="P43" s="214"/>
      <c r="Q43" s="205"/>
      <c r="R43" s="214"/>
      <c r="S43" s="215"/>
      <c r="T43" s="185">
        <v>40</v>
      </c>
      <c r="U43" s="186"/>
      <c r="V43" s="187"/>
      <c r="W43" s="188"/>
      <c r="X43" s="204"/>
      <c r="Y43" s="205"/>
      <c r="Z43" s="212"/>
      <c r="AA43" s="213"/>
      <c r="AB43" s="214"/>
      <c r="AC43" s="205"/>
      <c r="AD43" s="214"/>
      <c r="AE43" s="215"/>
      <c r="AF43" s="86">
        <v>40</v>
      </c>
      <c r="AG43" s="87"/>
      <c r="AH43" s="94">
        <v>1</v>
      </c>
      <c r="AI43" s="95"/>
      <c r="AJ43" s="87"/>
      <c r="AK43" s="88"/>
      <c r="AL43" s="86"/>
      <c r="AM43" s="87"/>
      <c r="AN43" s="94"/>
      <c r="AO43" s="86"/>
      <c r="AP43" s="87"/>
      <c r="AQ43" s="94"/>
      <c r="AR43" s="86"/>
      <c r="AS43" s="87"/>
      <c r="AT43" s="94"/>
      <c r="AU43" s="86"/>
      <c r="AV43" s="87"/>
      <c r="AW43" s="94"/>
      <c r="AX43" s="86"/>
      <c r="AY43" s="87"/>
      <c r="AZ43" s="94"/>
      <c r="BA43" s="86"/>
      <c r="BB43" s="87"/>
      <c r="BC43" s="94"/>
      <c r="BD43" s="216">
        <f>AH43</f>
        <v>1</v>
      </c>
      <c r="BE43" s="217"/>
      <c r="BF43" s="209"/>
      <c r="BG43" s="210"/>
      <c r="BH43" s="210"/>
      <c r="BI43" s="211"/>
    </row>
    <row r="44" spans="1:61" ht="30" customHeight="1">
      <c r="A44" s="114"/>
      <c r="B44" s="370" t="s">
        <v>197</v>
      </c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2"/>
      <c r="P44" s="373"/>
      <c r="Q44" s="374"/>
      <c r="R44" s="214"/>
      <c r="S44" s="204"/>
      <c r="T44" s="216"/>
      <c r="U44" s="205"/>
      <c r="V44" s="375"/>
      <c r="W44" s="205"/>
      <c r="X44" s="216"/>
      <c r="Y44" s="205"/>
      <c r="Z44" s="375"/>
      <c r="AA44" s="205"/>
      <c r="AB44" s="375"/>
      <c r="AC44" s="205"/>
      <c r="AD44" s="247"/>
      <c r="AE44" s="360"/>
      <c r="AF44" s="86"/>
      <c r="AG44" s="87"/>
      <c r="AH44" s="94"/>
      <c r="AI44" s="86"/>
      <c r="AJ44" s="87"/>
      <c r="AK44" s="94"/>
      <c r="AL44" s="86"/>
      <c r="AM44" s="87"/>
      <c r="AN44" s="94"/>
      <c r="AO44" s="86"/>
      <c r="AP44" s="87"/>
      <c r="AQ44" s="94"/>
      <c r="AR44" s="86"/>
      <c r="AS44" s="87"/>
      <c r="AT44" s="94"/>
      <c r="AU44" s="86"/>
      <c r="AV44" s="87"/>
      <c r="AW44" s="94"/>
      <c r="AX44" s="86"/>
      <c r="AY44" s="87"/>
      <c r="AZ44" s="94"/>
      <c r="BA44" s="86"/>
      <c r="BB44" s="87"/>
      <c r="BC44" s="94"/>
      <c r="BD44" s="216"/>
      <c r="BE44" s="217"/>
      <c r="BF44" s="350"/>
      <c r="BG44" s="351"/>
      <c r="BH44" s="351"/>
      <c r="BI44" s="352"/>
    </row>
    <row r="45" spans="1:61" ht="29.25" customHeight="1">
      <c r="A45" s="112" t="s">
        <v>120</v>
      </c>
      <c r="B45" s="229" t="s">
        <v>151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66"/>
      <c r="P45" s="214">
        <v>2</v>
      </c>
      <c r="Q45" s="205"/>
      <c r="R45" s="214">
        <v>1</v>
      </c>
      <c r="S45" s="215"/>
      <c r="T45" s="185">
        <f>SUM(AF45,AI45,AL45,AO45,AR45,AU45,AX45,BA45)</f>
        <v>407.9</v>
      </c>
      <c r="U45" s="186"/>
      <c r="V45" s="222">
        <f>SUM(AG45,AJ45,AM45,AP45,AS45,AV45,AY45,BB45)</f>
        <v>203.95</v>
      </c>
      <c r="W45" s="223"/>
      <c r="X45" s="216">
        <f>(H18*3.15)+(AC18*3.15)</f>
        <v>103.94999999999999</v>
      </c>
      <c r="Y45" s="213"/>
      <c r="Z45" s="212">
        <v>52</v>
      </c>
      <c r="AA45" s="213"/>
      <c r="AB45" s="212">
        <v>48</v>
      </c>
      <c r="AC45" s="213"/>
      <c r="AD45" s="214"/>
      <c r="AE45" s="215"/>
      <c r="AF45" s="86">
        <f>AG45*2</f>
        <v>203.95</v>
      </c>
      <c r="AG45" s="87">
        <f>(X45+Z45+AB45)/2</f>
        <v>101.975</v>
      </c>
      <c r="AH45" s="88">
        <f>AF45/34</f>
        <v>5.998529411764705</v>
      </c>
      <c r="AI45" s="86">
        <f>AJ45*2</f>
        <v>203.95</v>
      </c>
      <c r="AJ45" s="87">
        <f>AG45</f>
        <v>101.975</v>
      </c>
      <c r="AK45" s="88">
        <f>AI45/34</f>
        <v>5.998529411764705</v>
      </c>
      <c r="AL45" s="86"/>
      <c r="AM45" s="87"/>
      <c r="AN45" s="88"/>
      <c r="AO45" s="86"/>
      <c r="AP45" s="87"/>
      <c r="AQ45" s="94"/>
      <c r="AR45" s="86"/>
      <c r="AS45" s="87"/>
      <c r="AT45" s="94"/>
      <c r="AU45" s="86"/>
      <c r="AV45" s="87"/>
      <c r="AW45" s="94"/>
      <c r="AX45" s="86"/>
      <c r="AY45" s="87"/>
      <c r="AZ45" s="94"/>
      <c r="BA45" s="86"/>
      <c r="BB45" s="87"/>
      <c r="BC45" s="94"/>
      <c r="BD45" s="216">
        <v>12</v>
      </c>
      <c r="BE45" s="217"/>
      <c r="BF45" s="244" t="s">
        <v>213</v>
      </c>
      <c r="BG45" s="245"/>
      <c r="BH45" s="245"/>
      <c r="BI45" s="246"/>
    </row>
    <row r="46" spans="1:61" s="6" customFormat="1" ht="30" customHeight="1">
      <c r="A46" s="111"/>
      <c r="B46" s="250" t="s">
        <v>200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14"/>
      <c r="Q46" s="205"/>
      <c r="R46" s="214"/>
      <c r="S46" s="215"/>
      <c r="T46" s="262"/>
      <c r="U46" s="258"/>
      <c r="V46" s="256"/>
      <c r="W46" s="258"/>
      <c r="X46" s="262"/>
      <c r="Y46" s="258"/>
      <c r="Z46" s="256"/>
      <c r="AA46" s="258"/>
      <c r="AB46" s="256"/>
      <c r="AC46" s="258"/>
      <c r="AD46" s="214"/>
      <c r="AE46" s="215"/>
      <c r="AF46" s="86"/>
      <c r="AG46" s="87"/>
      <c r="AH46" s="94"/>
      <c r="AI46" s="86"/>
      <c r="AJ46" s="87"/>
      <c r="AK46" s="94"/>
      <c r="AL46" s="86"/>
      <c r="AM46" s="87"/>
      <c r="AN46" s="102"/>
      <c r="AO46" s="86"/>
      <c r="AP46" s="87"/>
      <c r="AQ46" s="94"/>
      <c r="AR46" s="116"/>
      <c r="AS46" s="87"/>
      <c r="AT46" s="94"/>
      <c r="AU46" s="86"/>
      <c r="AV46" s="87"/>
      <c r="AW46" s="94"/>
      <c r="AX46" s="116"/>
      <c r="AY46" s="87"/>
      <c r="AZ46" s="94"/>
      <c r="BA46" s="86"/>
      <c r="BB46" s="87"/>
      <c r="BC46" s="94"/>
      <c r="BD46" s="216"/>
      <c r="BE46" s="217"/>
      <c r="BF46" s="232"/>
      <c r="BG46" s="233"/>
      <c r="BH46" s="233"/>
      <c r="BI46" s="234"/>
    </row>
    <row r="47" spans="1:61" s="6" customFormat="1" ht="28.5" customHeight="1">
      <c r="A47" s="111" t="s">
        <v>162</v>
      </c>
      <c r="B47" s="218" t="s">
        <v>160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20"/>
      <c r="P47" s="214"/>
      <c r="Q47" s="205"/>
      <c r="R47" s="214">
        <v>1</v>
      </c>
      <c r="S47" s="204"/>
      <c r="T47" s="261">
        <f>SUM(AF47,AI47,AL47,AO47,AR47,AU47,AX47,BA47)</f>
        <v>240</v>
      </c>
      <c r="U47" s="221"/>
      <c r="V47" s="222">
        <f>SUM(AG47,AJ47,AM47,AP47,AS47,AV47,AY47,BB47)</f>
        <v>100</v>
      </c>
      <c r="W47" s="223"/>
      <c r="X47" s="204"/>
      <c r="Y47" s="205"/>
      <c r="Z47" s="214"/>
      <c r="AA47" s="205"/>
      <c r="AB47" s="214">
        <v>100</v>
      </c>
      <c r="AC47" s="205"/>
      <c r="AD47" s="214"/>
      <c r="AE47" s="204"/>
      <c r="AF47" s="86">
        <f>AG47*2.4</f>
        <v>240</v>
      </c>
      <c r="AG47" s="87">
        <f>AB47</f>
        <v>100</v>
      </c>
      <c r="AH47" s="88">
        <f>AF47/40</f>
        <v>6</v>
      </c>
      <c r="AI47" s="86"/>
      <c r="AJ47" s="87"/>
      <c r="AK47" s="88"/>
      <c r="AL47" s="86"/>
      <c r="AM47" s="87"/>
      <c r="AN47" s="102"/>
      <c r="AO47" s="86"/>
      <c r="AP47" s="87"/>
      <c r="AQ47" s="94"/>
      <c r="AR47" s="116"/>
      <c r="AS47" s="87"/>
      <c r="AT47" s="94"/>
      <c r="AU47" s="86"/>
      <c r="AV47" s="87"/>
      <c r="AW47" s="94"/>
      <c r="AX47" s="86"/>
      <c r="AY47" s="87"/>
      <c r="AZ47" s="94"/>
      <c r="BA47" s="86"/>
      <c r="BB47" s="87"/>
      <c r="BC47" s="94"/>
      <c r="BD47" s="216">
        <f>SUM(AH47,AK47,AN47,AQ47,AT47,AW47,AZ47,BC47)</f>
        <v>6</v>
      </c>
      <c r="BE47" s="217"/>
      <c r="BF47" s="244" t="s">
        <v>208</v>
      </c>
      <c r="BG47" s="245"/>
      <c r="BH47" s="245"/>
      <c r="BI47" s="246"/>
    </row>
    <row r="48" spans="1:61" s="6" customFormat="1" ht="28.5" customHeight="1">
      <c r="A48" s="112"/>
      <c r="B48" s="250" t="s">
        <v>203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2"/>
      <c r="P48" s="214"/>
      <c r="Q48" s="205"/>
      <c r="R48" s="214"/>
      <c r="S48" s="215"/>
      <c r="T48" s="261"/>
      <c r="U48" s="221"/>
      <c r="V48" s="281"/>
      <c r="W48" s="221"/>
      <c r="X48" s="261"/>
      <c r="Y48" s="221"/>
      <c r="Z48" s="222"/>
      <c r="AA48" s="221"/>
      <c r="AB48" s="281"/>
      <c r="AC48" s="221"/>
      <c r="AD48" s="214"/>
      <c r="AE48" s="215"/>
      <c r="AF48" s="86"/>
      <c r="AG48" s="87"/>
      <c r="AH48" s="94"/>
      <c r="AI48" s="86"/>
      <c r="AJ48" s="87"/>
      <c r="AK48" s="102"/>
      <c r="AL48" s="86"/>
      <c r="AM48" s="87"/>
      <c r="AN48" s="102"/>
      <c r="AO48" s="117"/>
      <c r="AP48" s="118"/>
      <c r="AQ48" s="119"/>
      <c r="AR48" s="116"/>
      <c r="AS48" s="87"/>
      <c r="AT48" s="94"/>
      <c r="AU48" s="86"/>
      <c r="AV48" s="87"/>
      <c r="AW48" s="94"/>
      <c r="AX48" s="86"/>
      <c r="AY48" s="87"/>
      <c r="AZ48" s="94"/>
      <c r="BA48" s="86"/>
      <c r="BB48" s="87"/>
      <c r="BC48" s="94"/>
      <c r="BD48" s="216"/>
      <c r="BE48" s="217"/>
      <c r="BF48" s="232"/>
      <c r="BG48" s="233"/>
      <c r="BH48" s="233"/>
      <c r="BI48" s="234"/>
    </row>
    <row r="49" spans="1:61" s="6" customFormat="1" ht="31.5" customHeight="1">
      <c r="A49" s="111" t="s">
        <v>163</v>
      </c>
      <c r="B49" s="218" t="s">
        <v>154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20"/>
      <c r="P49" s="214">
        <v>1</v>
      </c>
      <c r="Q49" s="205"/>
      <c r="R49" s="214" t="s">
        <v>379</v>
      </c>
      <c r="S49" s="204"/>
      <c r="T49" s="261">
        <f>SUM(AF49,AI49,AL49,AO49,AR49,AU49,AX49,BA49)</f>
        <v>196</v>
      </c>
      <c r="U49" s="221"/>
      <c r="V49" s="222">
        <f>SUM(AG49,AJ49,AM49,AP49,AS49,AV49,AY49,BB49)</f>
        <v>98</v>
      </c>
      <c r="W49" s="223"/>
      <c r="X49" s="204">
        <v>32</v>
      </c>
      <c r="Y49" s="205"/>
      <c r="Z49" s="214"/>
      <c r="AA49" s="205"/>
      <c r="AB49" s="214">
        <v>66</v>
      </c>
      <c r="AC49" s="205"/>
      <c r="AD49" s="214"/>
      <c r="AE49" s="204"/>
      <c r="AF49" s="86">
        <f>AG49*2</f>
        <v>100</v>
      </c>
      <c r="AG49" s="87">
        <f>34+16</f>
        <v>50</v>
      </c>
      <c r="AH49" s="88">
        <f>AF49/33.3</f>
        <v>3.0030030030030033</v>
      </c>
      <c r="AI49" s="86">
        <f>AJ49*2</f>
        <v>96</v>
      </c>
      <c r="AJ49" s="87">
        <v>48</v>
      </c>
      <c r="AK49" s="115">
        <f>AI49/32</f>
        <v>3</v>
      </c>
      <c r="AL49" s="86"/>
      <c r="AM49" s="87"/>
      <c r="AN49" s="96"/>
      <c r="AO49" s="117"/>
      <c r="AP49" s="118"/>
      <c r="AQ49" s="119"/>
      <c r="AR49" s="116"/>
      <c r="AS49" s="87"/>
      <c r="AT49" s="94"/>
      <c r="AU49" s="86"/>
      <c r="AV49" s="87"/>
      <c r="AW49" s="94"/>
      <c r="AX49" s="86"/>
      <c r="AY49" s="87"/>
      <c r="AZ49" s="94"/>
      <c r="BA49" s="86"/>
      <c r="BB49" s="87"/>
      <c r="BC49" s="94"/>
      <c r="BD49" s="216">
        <f>SUM(AH49,AK49,AN49,AQ49,AT49,AW49,AZ49,BC49)</f>
        <v>6.003003003003004</v>
      </c>
      <c r="BE49" s="217"/>
      <c r="BF49" s="244" t="s">
        <v>216</v>
      </c>
      <c r="BG49" s="245"/>
      <c r="BH49" s="245"/>
      <c r="BI49" s="246"/>
    </row>
    <row r="50" spans="1:61" s="6" customFormat="1" ht="27.75" customHeight="1">
      <c r="A50" s="111"/>
      <c r="B50" s="250" t="s">
        <v>364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2"/>
      <c r="P50" s="214"/>
      <c r="Q50" s="205"/>
      <c r="R50" s="214"/>
      <c r="S50" s="215"/>
      <c r="T50" s="261"/>
      <c r="U50" s="221"/>
      <c r="V50" s="376"/>
      <c r="W50" s="377"/>
      <c r="X50" s="261"/>
      <c r="Y50" s="221"/>
      <c r="Z50" s="222"/>
      <c r="AA50" s="221"/>
      <c r="AB50" s="281"/>
      <c r="AC50" s="221"/>
      <c r="AD50" s="214"/>
      <c r="AE50" s="215"/>
      <c r="AF50" s="86"/>
      <c r="AG50" s="87"/>
      <c r="AH50" s="94"/>
      <c r="AI50" s="86"/>
      <c r="AJ50" s="87"/>
      <c r="AK50" s="94"/>
      <c r="AL50" s="86"/>
      <c r="AM50" s="87"/>
      <c r="AN50" s="102"/>
      <c r="AO50" s="86"/>
      <c r="AP50" s="87"/>
      <c r="AQ50" s="88"/>
      <c r="AR50" s="116"/>
      <c r="AS50" s="87"/>
      <c r="AT50" s="94"/>
      <c r="AU50" s="86"/>
      <c r="AV50" s="87"/>
      <c r="AW50" s="94"/>
      <c r="AX50" s="86"/>
      <c r="AY50" s="87"/>
      <c r="AZ50" s="94"/>
      <c r="BA50" s="86"/>
      <c r="BB50" s="87"/>
      <c r="BC50" s="94"/>
      <c r="BD50" s="216"/>
      <c r="BE50" s="217"/>
      <c r="BF50" s="232"/>
      <c r="BG50" s="233"/>
      <c r="BH50" s="233"/>
      <c r="BI50" s="234"/>
    </row>
    <row r="51" spans="1:61" s="6" customFormat="1" ht="30" customHeight="1">
      <c r="A51" s="111" t="s">
        <v>164</v>
      </c>
      <c r="B51" s="218" t="s">
        <v>152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20"/>
      <c r="P51" s="214">
        <v>2</v>
      </c>
      <c r="Q51" s="205"/>
      <c r="R51" s="214"/>
      <c r="S51" s="204"/>
      <c r="T51" s="261">
        <f aca="true" t="shared" si="2" ref="T51:T56">SUM(AF51,AI51,AL51,AO51,AR51,AU51,AX51,BA51)</f>
        <v>128</v>
      </c>
      <c r="U51" s="221"/>
      <c r="V51" s="222">
        <f aca="true" t="shared" si="3" ref="V51:V56">SUM(AG51,AJ51,AM51,AP51,AS51,AV51,AY51,BB51)</f>
        <v>64</v>
      </c>
      <c r="W51" s="223"/>
      <c r="X51" s="260">
        <v>32</v>
      </c>
      <c r="Y51" s="205"/>
      <c r="Z51" s="214"/>
      <c r="AA51" s="205"/>
      <c r="AB51" s="214">
        <v>32</v>
      </c>
      <c r="AC51" s="205"/>
      <c r="AD51" s="214"/>
      <c r="AE51" s="204"/>
      <c r="AF51" s="86"/>
      <c r="AG51" s="87"/>
      <c r="AH51" s="94"/>
      <c r="AI51" s="86">
        <f>AJ51*2</f>
        <v>128</v>
      </c>
      <c r="AJ51" s="87">
        <f>X51+AB51</f>
        <v>64</v>
      </c>
      <c r="AK51" s="88">
        <f>AI51/42.6</f>
        <v>3.004694835680751</v>
      </c>
      <c r="AL51" s="86"/>
      <c r="AM51" s="87"/>
      <c r="AN51" s="96"/>
      <c r="AO51" s="86"/>
      <c r="AP51" s="87"/>
      <c r="AQ51" s="88"/>
      <c r="AR51" s="116"/>
      <c r="AS51" s="87"/>
      <c r="AT51" s="94"/>
      <c r="AU51" s="86"/>
      <c r="AV51" s="87"/>
      <c r="AW51" s="94"/>
      <c r="AX51" s="86"/>
      <c r="AY51" s="87"/>
      <c r="AZ51" s="94"/>
      <c r="BA51" s="86"/>
      <c r="BB51" s="87"/>
      <c r="BC51" s="94"/>
      <c r="BD51" s="216">
        <f>AH51+AK51+AN51+AQ51+AT51+AW51+AZ51+BC51</f>
        <v>3.004694835680751</v>
      </c>
      <c r="BE51" s="217"/>
      <c r="BF51" s="244" t="s">
        <v>218</v>
      </c>
      <c r="BG51" s="245"/>
      <c r="BH51" s="245"/>
      <c r="BI51" s="246"/>
    </row>
    <row r="52" spans="1:61" s="6" customFormat="1" ht="28.5" customHeight="1">
      <c r="A52" s="183" t="s">
        <v>165</v>
      </c>
      <c r="B52" s="218" t="s">
        <v>153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0"/>
      <c r="P52" s="214">
        <v>3</v>
      </c>
      <c r="Q52" s="205"/>
      <c r="R52" s="214">
        <v>2</v>
      </c>
      <c r="S52" s="204"/>
      <c r="T52" s="261">
        <f t="shared" si="2"/>
        <v>228</v>
      </c>
      <c r="U52" s="221"/>
      <c r="V52" s="222">
        <f t="shared" si="3"/>
        <v>114</v>
      </c>
      <c r="W52" s="223"/>
      <c r="X52" s="204">
        <v>66</v>
      </c>
      <c r="Y52" s="205"/>
      <c r="Z52" s="214">
        <v>32</v>
      </c>
      <c r="AA52" s="205"/>
      <c r="AB52" s="214">
        <v>16</v>
      </c>
      <c r="AC52" s="205"/>
      <c r="AD52" s="214"/>
      <c r="AE52" s="204"/>
      <c r="AF52" s="86"/>
      <c r="AG52" s="87"/>
      <c r="AH52" s="94"/>
      <c r="AI52" s="86">
        <f>AJ52*2</f>
        <v>160</v>
      </c>
      <c r="AJ52" s="87">
        <f>AC18*(3+2)</f>
        <v>80</v>
      </c>
      <c r="AK52" s="88">
        <f>AI52/40</f>
        <v>4</v>
      </c>
      <c r="AL52" s="95">
        <f>AM52*2</f>
        <v>68</v>
      </c>
      <c r="AM52" s="87">
        <f>H19*2</f>
        <v>34</v>
      </c>
      <c r="AN52" s="115">
        <f>AL52/34</f>
        <v>2</v>
      </c>
      <c r="AO52" s="117"/>
      <c r="AP52" s="118"/>
      <c r="AQ52" s="119"/>
      <c r="AR52" s="116"/>
      <c r="AS52" s="87"/>
      <c r="AT52" s="94"/>
      <c r="AU52" s="86"/>
      <c r="AV52" s="87"/>
      <c r="AW52" s="94"/>
      <c r="AX52" s="86"/>
      <c r="AY52" s="87"/>
      <c r="AZ52" s="94"/>
      <c r="BA52" s="86"/>
      <c r="BB52" s="87"/>
      <c r="BC52" s="94"/>
      <c r="BD52" s="216">
        <f>SUM(AH52,AK52,AN52,AQ52,AT52,AW52,AZ52,BC52)</f>
        <v>6</v>
      </c>
      <c r="BE52" s="217"/>
      <c r="BF52" s="235" t="s">
        <v>220</v>
      </c>
      <c r="BG52" s="236"/>
      <c r="BH52" s="236"/>
      <c r="BI52" s="237"/>
    </row>
    <row r="53" spans="1:61" s="6" customFormat="1" ht="55.5" customHeight="1">
      <c r="A53" s="184"/>
      <c r="B53" s="180" t="s">
        <v>417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2"/>
      <c r="P53" s="214"/>
      <c r="Q53" s="205"/>
      <c r="R53" s="214"/>
      <c r="S53" s="204"/>
      <c r="T53" s="261">
        <f t="shared" si="2"/>
        <v>40</v>
      </c>
      <c r="U53" s="221"/>
      <c r="V53" s="222">
        <f t="shared" si="3"/>
        <v>16</v>
      </c>
      <c r="W53" s="223"/>
      <c r="X53" s="204"/>
      <c r="Y53" s="205"/>
      <c r="Z53" s="214"/>
      <c r="AA53" s="205"/>
      <c r="AB53" s="214">
        <v>16</v>
      </c>
      <c r="AC53" s="205"/>
      <c r="AD53" s="214"/>
      <c r="AE53" s="204"/>
      <c r="AF53" s="86"/>
      <c r="AG53" s="87"/>
      <c r="AH53" s="94"/>
      <c r="AI53" s="86"/>
      <c r="AJ53" s="87"/>
      <c r="AK53" s="94"/>
      <c r="AL53" s="95">
        <f>AM53*2.5</f>
        <v>40</v>
      </c>
      <c r="AM53" s="87">
        <v>16</v>
      </c>
      <c r="AN53" s="94">
        <v>1</v>
      </c>
      <c r="AO53" s="117"/>
      <c r="AP53" s="118"/>
      <c r="AQ53" s="119"/>
      <c r="AR53" s="116"/>
      <c r="AS53" s="87"/>
      <c r="AT53" s="94"/>
      <c r="AU53" s="86"/>
      <c r="AV53" s="87"/>
      <c r="AW53" s="94"/>
      <c r="AX53" s="86"/>
      <c r="AY53" s="87"/>
      <c r="AZ53" s="94"/>
      <c r="BA53" s="86"/>
      <c r="BB53" s="87"/>
      <c r="BC53" s="94"/>
      <c r="BD53" s="260">
        <f>SUM(AH53,AK53,AN53,AQ53,AT53,AW53,AZ53,BC53)</f>
        <v>1</v>
      </c>
      <c r="BE53" s="215"/>
      <c r="BF53" s="238"/>
      <c r="BG53" s="239"/>
      <c r="BH53" s="239"/>
      <c r="BI53" s="240"/>
    </row>
    <row r="54" spans="1:67" s="6" customFormat="1" ht="33" customHeight="1">
      <c r="A54" s="112" t="s">
        <v>166</v>
      </c>
      <c r="B54" s="218" t="s">
        <v>181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0"/>
      <c r="P54" s="214">
        <v>2</v>
      </c>
      <c r="Q54" s="205"/>
      <c r="R54" s="214"/>
      <c r="S54" s="204"/>
      <c r="T54" s="185">
        <f t="shared" si="2"/>
        <v>110.08</v>
      </c>
      <c r="U54" s="186"/>
      <c r="V54" s="222">
        <f t="shared" si="3"/>
        <v>64</v>
      </c>
      <c r="W54" s="223"/>
      <c r="X54" s="204">
        <v>48</v>
      </c>
      <c r="Y54" s="205"/>
      <c r="Z54" s="214">
        <v>16</v>
      </c>
      <c r="AA54" s="205"/>
      <c r="AB54" s="214"/>
      <c r="AC54" s="205"/>
      <c r="AD54" s="214"/>
      <c r="AE54" s="204"/>
      <c r="AF54" s="86"/>
      <c r="AG54" s="87"/>
      <c r="AH54" s="94"/>
      <c r="AI54" s="95">
        <f>AJ54*1.72</f>
        <v>110.08</v>
      </c>
      <c r="AJ54" s="87">
        <f>X54+Z54+AB54</f>
        <v>64</v>
      </c>
      <c r="AK54" s="88">
        <f>AI54/36.7</f>
        <v>2.9994550408719345</v>
      </c>
      <c r="AL54" s="86"/>
      <c r="AM54" s="87"/>
      <c r="AN54" s="94"/>
      <c r="AO54" s="86"/>
      <c r="AP54" s="87"/>
      <c r="AQ54" s="94"/>
      <c r="AR54" s="86"/>
      <c r="AS54" s="87"/>
      <c r="AT54" s="94"/>
      <c r="AU54" s="86"/>
      <c r="AV54" s="87"/>
      <c r="AW54" s="94"/>
      <c r="AX54" s="86"/>
      <c r="AY54" s="87"/>
      <c r="AZ54" s="94"/>
      <c r="BA54" s="86"/>
      <c r="BB54" s="87"/>
      <c r="BC54" s="94"/>
      <c r="BD54" s="216">
        <f>SUM(AH54,AK54,AN54,AQ54,AT54,AW54,AZ54,BC54)</f>
        <v>2.9994550408719345</v>
      </c>
      <c r="BE54" s="217"/>
      <c r="BF54" s="244" t="s">
        <v>221</v>
      </c>
      <c r="BG54" s="245"/>
      <c r="BH54" s="245"/>
      <c r="BI54" s="246"/>
      <c r="BK54" s="1"/>
      <c r="BL54" s="1"/>
      <c r="BM54" s="1"/>
      <c r="BN54" s="1"/>
      <c r="BO54" s="1"/>
    </row>
    <row r="55" spans="1:67" s="6" customFormat="1" ht="35.25" customHeight="1">
      <c r="A55" s="183" t="s">
        <v>167</v>
      </c>
      <c r="B55" s="218" t="s">
        <v>180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20"/>
      <c r="P55" s="214">
        <v>4</v>
      </c>
      <c r="Q55" s="205"/>
      <c r="R55" s="214">
        <v>3</v>
      </c>
      <c r="S55" s="204"/>
      <c r="T55" s="185">
        <f t="shared" si="2"/>
        <v>250.01999999999998</v>
      </c>
      <c r="U55" s="186"/>
      <c r="V55" s="187">
        <f t="shared" si="3"/>
        <v>148</v>
      </c>
      <c r="W55" s="188"/>
      <c r="X55" s="204">
        <v>114</v>
      </c>
      <c r="Y55" s="205"/>
      <c r="Z55" s="212">
        <v>34</v>
      </c>
      <c r="AA55" s="213"/>
      <c r="AB55" s="214"/>
      <c r="AC55" s="205"/>
      <c r="AD55" s="214"/>
      <c r="AE55" s="204"/>
      <c r="AF55" s="86"/>
      <c r="AG55" s="87"/>
      <c r="AH55" s="94"/>
      <c r="AI55" s="86"/>
      <c r="AJ55" s="87"/>
      <c r="AK55" s="94"/>
      <c r="AL55" s="95">
        <f>AM55*1.765</f>
        <v>120.02</v>
      </c>
      <c r="AM55" s="87">
        <v>68</v>
      </c>
      <c r="AN55" s="88">
        <f>AL55/40</f>
        <v>3.0004999999999997</v>
      </c>
      <c r="AO55" s="95">
        <f>AP55*1.625</f>
        <v>130</v>
      </c>
      <c r="AP55" s="87">
        <v>80</v>
      </c>
      <c r="AQ55" s="88">
        <f>AO55/43.3</f>
        <v>3.002309468822171</v>
      </c>
      <c r="AR55" s="86"/>
      <c r="AS55" s="87"/>
      <c r="AT55" s="94"/>
      <c r="AU55" s="86"/>
      <c r="AV55" s="87"/>
      <c r="AW55" s="94"/>
      <c r="AX55" s="86"/>
      <c r="AY55" s="87"/>
      <c r="AZ55" s="94"/>
      <c r="BA55" s="86"/>
      <c r="BB55" s="87"/>
      <c r="BC55" s="94"/>
      <c r="BD55" s="216">
        <f>SUM(AH55,AK55,AN55,AQ55,AT55,AW55,AZ55,BC55)</f>
        <v>6.002809468822171</v>
      </c>
      <c r="BE55" s="217"/>
      <c r="BF55" s="206" t="s">
        <v>222</v>
      </c>
      <c r="BG55" s="207"/>
      <c r="BH55" s="207"/>
      <c r="BI55" s="208"/>
      <c r="BK55" s="1"/>
      <c r="BL55" s="1"/>
      <c r="BM55" s="1"/>
      <c r="BN55" s="1"/>
      <c r="BO55" s="1"/>
    </row>
    <row r="56" spans="1:67" s="6" customFormat="1" ht="54.75" customHeight="1">
      <c r="A56" s="184"/>
      <c r="B56" s="180" t="s">
        <v>418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2"/>
      <c r="P56" s="214"/>
      <c r="Q56" s="205"/>
      <c r="R56" s="214"/>
      <c r="S56" s="204"/>
      <c r="T56" s="261">
        <f t="shared" si="2"/>
        <v>60</v>
      </c>
      <c r="U56" s="221"/>
      <c r="V56" s="222">
        <f t="shared" si="3"/>
        <v>16</v>
      </c>
      <c r="W56" s="223"/>
      <c r="X56" s="204"/>
      <c r="Y56" s="205"/>
      <c r="Z56" s="214"/>
      <c r="AA56" s="205"/>
      <c r="AB56" s="214">
        <v>16</v>
      </c>
      <c r="AC56" s="205"/>
      <c r="AD56" s="214"/>
      <c r="AE56" s="204"/>
      <c r="AF56" s="86"/>
      <c r="AG56" s="87"/>
      <c r="AH56" s="94"/>
      <c r="AI56" s="86"/>
      <c r="AJ56" s="87"/>
      <c r="AK56" s="94"/>
      <c r="AL56" s="86"/>
      <c r="AM56" s="87"/>
      <c r="AN56" s="94"/>
      <c r="AO56" s="86">
        <f>AP56*3.75</f>
        <v>60</v>
      </c>
      <c r="AP56" s="87">
        <f>AB56</f>
        <v>16</v>
      </c>
      <c r="AQ56" s="88">
        <v>2</v>
      </c>
      <c r="AR56" s="86"/>
      <c r="AS56" s="87"/>
      <c r="AT56" s="94"/>
      <c r="AU56" s="86"/>
      <c r="AV56" s="87"/>
      <c r="AW56" s="94"/>
      <c r="AX56" s="86"/>
      <c r="AY56" s="87"/>
      <c r="AZ56" s="94"/>
      <c r="BA56" s="86"/>
      <c r="BB56" s="87"/>
      <c r="BC56" s="94"/>
      <c r="BD56" s="260">
        <f>SUM(AH56,AK56,AN56,AQ56,AT56,AW56,AZ56,BC56)</f>
        <v>2</v>
      </c>
      <c r="BE56" s="215"/>
      <c r="BF56" s="209"/>
      <c r="BG56" s="210"/>
      <c r="BH56" s="210"/>
      <c r="BI56" s="211"/>
      <c r="BK56" s="1"/>
      <c r="BL56" s="1"/>
      <c r="BM56" s="1"/>
      <c r="BN56" s="1"/>
      <c r="BO56" s="1"/>
    </row>
    <row r="57" spans="1:61" ht="58.5" customHeight="1">
      <c r="A57" s="107"/>
      <c r="B57" s="406" t="s">
        <v>201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8"/>
      <c r="P57" s="214"/>
      <c r="Q57" s="205"/>
      <c r="R57" s="214"/>
      <c r="S57" s="215"/>
      <c r="T57" s="260"/>
      <c r="U57" s="205"/>
      <c r="V57" s="204"/>
      <c r="W57" s="205"/>
      <c r="X57" s="260"/>
      <c r="Y57" s="205"/>
      <c r="Z57" s="214"/>
      <c r="AA57" s="205"/>
      <c r="AB57" s="204"/>
      <c r="AC57" s="205"/>
      <c r="AD57" s="214"/>
      <c r="AE57" s="215"/>
      <c r="AF57" s="86"/>
      <c r="AG57" s="87"/>
      <c r="AH57" s="94"/>
      <c r="AI57" s="86"/>
      <c r="AJ57" s="87"/>
      <c r="AK57" s="94"/>
      <c r="AL57" s="86"/>
      <c r="AM57" s="87"/>
      <c r="AN57" s="94"/>
      <c r="AO57" s="86"/>
      <c r="AP57" s="87"/>
      <c r="AQ57" s="120"/>
      <c r="AR57" s="86"/>
      <c r="AS57" s="87"/>
      <c r="AT57" s="94"/>
      <c r="AU57" s="86"/>
      <c r="AV57" s="87"/>
      <c r="AW57" s="94"/>
      <c r="AX57" s="86"/>
      <c r="AY57" s="87"/>
      <c r="AZ57" s="94"/>
      <c r="BA57" s="86"/>
      <c r="BB57" s="87"/>
      <c r="BC57" s="94"/>
      <c r="BD57" s="216"/>
      <c r="BE57" s="215"/>
      <c r="BF57" s="232"/>
      <c r="BG57" s="233"/>
      <c r="BH57" s="233"/>
      <c r="BI57" s="234"/>
    </row>
    <row r="58" spans="1:67" s="6" customFormat="1" ht="32.25" customHeight="1">
      <c r="A58" s="183" t="s">
        <v>168</v>
      </c>
      <c r="B58" s="218" t="s">
        <v>179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20"/>
      <c r="P58" s="214">
        <v>3</v>
      </c>
      <c r="Q58" s="205"/>
      <c r="R58" s="214"/>
      <c r="S58" s="204"/>
      <c r="T58" s="261">
        <f>SUM(AF58,AI58,AL58,AO58,AR58,AU58,AX58,BA58)</f>
        <v>132</v>
      </c>
      <c r="U58" s="221"/>
      <c r="V58" s="222">
        <f>SUM(AG58,AJ58,AM58,AP58,AS58,AV58,AY58,BB58)</f>
        <v>66</v>
      </c>
      <c r="W58" s="223"/>
      <c r="X58" s="204">
        <v>50</v>
      </c>
      <c r="Y58" s="205"/>
      <c r="Z58" s="214">
        <v>16</v>
      </c>
      <c r="AA58" s="205"/>
      <c r="AB58" s="214"/>
      <c r="AC58" s="205"/>
      <c r="AD58" s="214"/>
      <c r="AE58" s="204"/>
      <c r="AF58" s="86"/>
      <c r="AG58" s="87"/>
      <c r="AH58" s="94"/>
      <c r="AI58" s="86"/>
      <c r="AJ58" s="87"/>
      <c r="AK58" s="94"/>
      <c r="AL58" s="86">
        <f>AM58*2</f>
        <v>132</v>
      </c>
      <c r="AM58" s="87">
        <f>X58+Z58+AB58</f>
        <v>66</v>
      </c>
      <c r="AN58" s="88">
        <f>AL58/44</f>
        <v>3</v>
      </c>
      <c r="AO58" s="86"/>
      <c r="AP58" s="87"/>
      <c r="AQ58" s="94"/>
      <c r="AR58" s="86"/>
      <c r="AS58" s="87"/>
      <c r="AT58" s="94"/>
      <c r="AU58" s="86"/>
      <c r="AV58" s="87"/>
      <c r="AW58" s="94"/>
      <c r="AX58" s="86"/>
      <c r="AY58" s="87"/>
      <c r="AZ58" s="94"/>
      <c r="BA58" s="86"/>
      <c r="BB58" s="87"/>
      <c r="BC58" s="94"/>
      <c r="BD58" s="216">
        <f>SUM(AH58,AK58,AN58,AQ58,AT58,AW58,AZ58,BC58)</f>
        <v>3</v>
      </c>
      <c r="BE58" s="217"/>
      <c r="BF58" s="206" t="s">
        <v>281</v>
      </c>
      <c r="BG58" s="207"/>
      <c r="BH58" s="207"/>
      <c r="BI58" s="208"/>
      <c r="BK58" s="1"/>
      <c r="BL58" s="1"/>
      <c r="BM58" s="1"/>
      <c r="BN58" s="1"/>
      <c r="BO58" s="1"/>
    </row>
    <row r="59" spans="1:67" s="6" customFormat="1" ht="61.5" customHeight="1">
      <c r="A59" s="184"/>
      <c r="B59" s="180" t="s">
        <v>419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214"/>
      <c r="Q59" s="205"/>
      <c r="R59" s="214"/>
      <c r="S59" s="204"/>
      <c r="T59" s="261">
        <f>SUM(AF59,AI59,AL59,AO59,AR59,AU59,AX59,BA59)</f>
        <v>60</v>
      </c>
      <c r="U59" s="221"/>
      <c r="V59" s="222">
        <f>SUM(AG59,AJ59,AM59,AP59,AS59,AV59,AY59,BB59)</f>
        <v>16</v>
      </c>
      <c r="W59" s="223"/>
      <c r="X59" s="204"/>
      <c r="Y59" s="205"/>
      <c r="Z59" s="214"/>
      <c r="AA59" s="205"/>
      <c r="AB59" s="214">
        <v>16</v>
      </c>
      <c r="AC59" s="205"/>
      <c r="AD59" s="214"/>
      <c r="AE59" s="204"/>
      <c r="AF59" s="86"/>
      <c r="AG59" s="87"/>
      <c r="AH59" s="94"/>
      <c r="AI59" s="86"/>
      <c r="AJ59" s="87"/>
      <c r="AK59" s="94"/>
      <c r="AL59" s="86">
        <f>AM59*3.75</f>
        <v>60</v>
      </c>
      <c r="AM59" s="87">
        <v>16</v>
      </c>
      <c r="AN59" s="88">
        <v>2</v>
      </c>
      <c r="AO59" s="86"/>
      <c r="AP59" s="87"/>
      <c r="AQ59" s="94"/>
      <c r="AR59" s="86"/>
      <c r="AS59" s="87"/>
      <c r="AT59" s="94"/>
      <c r="AU59" s="86"/>
      <c r="AV59" s="87"/>
      <c r="AW59" s="94"/>
      <c r="AX59" s="86"/>
      <c r="AY59" s="87"/>
      <c r="AZ59" s="94"/>
      <c r="BA59" s="86"/>
      <c r="BB59" s="87"/>
      <c r="BC59" s="94"/>
      <c r="BD59" s="260">
        <f>SUM(AH59,AK59,AN59,AQ59,AT59,AW59,AZ59,BC59)</f>
        <v>2</v>
      </c>
      <c r="BE59" s="215"/>
      <c r="BF59" s="209"/>
      <c r="BG59" s="210"/>
      <c r="BH59" s="210"/>
      <c r="BI59" s="211"/>
      <c r="BK59" s="1"/>
      <c r="BL59" s="1"/>
      <c r="BM59" s="1"/>
      <c r="BN59" s="1"/>
      <c r="BO59" s="1"/>
    </row>
    <row r="60" spans="1:67" s="6" customFormat="1" ht="31.5" customHeight="1">
      <c r="A60" s="111" t="s">
        <v>169</v>
      </c>
      <c r="B60" s="218" t="s">
        <v>178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20"/>
      <c r="P60" s="214"/>
      <c r="Q60" s="205"/>
      <c r="R60" s="214">
        <v>4</v>
      </c>
      <c r="S60" s="204"/>
      <c r="T60" s="261">
        <f>SUM(AF60,AI60,AL60,AO60,AR60,AU60,AX60,BA60)</f>
        <v>132</v>
      </c>
      <c r="U60" s="221"/>
      <c r="V60" s="222">
        <f>SUM(AG60,AJ60,AM60,AP60,AS60,AV60,AY60,BB60)</f>
        <v>66</v>
      </c>
      <c r="W60" s="223"/>
      <c r="X60" s="204">
        <v>50</v>
      </c>
      <c r="Y60" s="205"/>
      <c r="Z60" s="214">
        <v>16</v>
      </c>
      <c r="AA60" s="205"/>
      <c r="AB60" s="214"/>
      <c r="AC60" s="205"/>
      <c r="AD60" s="214"/>
      <c r="AE60" s="204"/>
      <c r="AF60" s="86"/>
      <c r="AG60" s="87"/>
      <c r="AH60" s="94"/>
      <c r="AI60" s="86"/>
      <c r="AJ60" s="87"/>
      <c r="AK60" s="94"/>
      <c r="AL60" s="86"/>
      <c r="AM60" s="87"/>
      <c r="AN60" s="94"/>
      <c r="AO60" s="95">
        <f>AP60*2</f>
        <v>132</v>
      </c>
      <c r="AP60" s="87">
        <f>X60+Z60+AB60</f>
        <v>66</v>
      </c>
      <c r="AQ60" s="88">
        <f>AO60/44</f>
        <v>3</v>
      </c>
      <c r="AR60" s="86"/>
      <c r="AS60" s="87"/>
      <c r="AT60" s="94"/>
      <c r="AU60" s="86"/>
      <c r="AV60" s="87"/>
      <c r="AW60" s="94"/>
      <c r="AX60" s="86"/>
      <c r="AY60" s="87"/>
      <c r="AZ60" s="94"/>
      <c r="BA60" s="86"/>
      <c r="BB60" s="87"/>
      <c r="BC60" s="94"/>
      <c r="BD60" s="216">
        <f>SUM(AH60,AK60,AN60,AQ60,AT60,AW60,AZ60,BC60)</f>
        <v>3</v>
      </c>
      <c r="BE60" s="217"/>
      <c r="BF60" s="244" t="s">
        <v>280</v>
      </c>
      <c r="BG60" s="245"/>
      <c r="BH60" s="245"/>
      <c r="BI60" s="246"/>
      <c r="BK60" s="1"/>
      <c r="BL60" s="1"/>
      <c r="BM60" s="1"/>
      <c r="BN60" s="1"/>
      <c r="BO60" s="1"/>
    </row>
    <row r="61" spans="1:61" s="6" customFormat="1" ht="30" customHeight="1">
      <c r="A61" s="107"/>
      <c r="B61" s="250" t="s">
        <v>297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2"/>
      <c r="P61" s="214"/>
      <c r="Q61" s="205"/>
      <c r="R61" s="214"/>
      <c r="S61" s="215"/>
      <c r="T61" s="216"/>
      <c r="U61" s="213"/>
      <c r="V61" s="204"/>
      <c r="W61" s="205"/>
      <c r="X61" s="260"/>
      <c r="Y61" s="205"/>
      <c r="Z61" s="204"/>
      <c r="AA61" s="205"/>
      <c r="AB61" s="204"/>
      <c r="AC61" s="205"/>
      <c r="AD61" s="214"/>
      <c r="AE61" s="215"/>
      <c r="AF61" s="86"/>
      <c r="AG61" s="87"/>
      <c r="AH61" s="94"/>
      <c r="AI61" s="86"/>
      <c r="AJ61" s="87"/>
      <c r="AK61" s="94"/>
      <c r="AL61" s="86"/>
      <c r="AM61" s="87"/>
      <c r="AN61" s="102"/>
      <c r="AO61" s="121"/>
      <c r="AP61" s="122"/>
      <c r="AQ61" s="123"/>
      <c r="AR61" s="116"/>
      <c r="AS61" s="87"/>
      <c r="AT61" s="94"/>
      <c r="AU61" s="86"/>
      <c r="AV61" s="87"/>
      <c r="AW61" s="94"/>
      <c r="AX61" s="86"/>
      <c r="AY61" s="87"/>
      <c r="AZ61" s="94"/>
      <c r="BA61" s="86"/>
      <c r="BB61" s="87"/>
      <c r="BC61" s="94"/>
      <c r="BD61" s="216"/>
      <c r="BE61" s="215"/>
      <c r="BF61" s="232"/>
      <c r="BG61" s="233"/>
      <c r="BH61" s="233"/>
      <c r="BI61" s="234"/>
    </row>
    <row r="62" spans="1:61" s="6" customFormat="1" ht="30.75" customHeight="1">
      <c r="A62" s="111" t="s">
        <v>232</v>
      </c>
      <c r="B62" s="180" t="s">
        <v>223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2"/>
      <c r="P62" s="214">
        <v>4</v>
      </c>
      <c r="Q62" s="205"/>
      <c r="R62" s="214">
        <v>3</v>
      </c>
      <c r="S62" s="204"/>
      <c r="T62" s="185">
        <f>SUM(AF62,AI62,AL62,AO62,AR62,AU62,AX62,BA62)</f>
        <v>238.048</v>
      </c>
      <c r="U62" s="186"/>
      <c r="V62" s="222">
        <f>SUM(AG62,AJ62,AM62,AP62,AS62,AV62,AY62,BB62)</f>
        <v>114</v>
      </c>
      <c r="W62" s="223"/>
      <c r="X62" s="204">
        <v>82</v>
      </c>
      <c r="Y62" s="205"/>
      <c r="Z62" s="214">
        <v>32</v>
      </c>
      <c r="AA62" s="205"/>
      <c r="AB62" s="214"/>
      <c r="AC62" s="205"/>
      <c r="AD62" s="214"/>
      <c r="AE62" s="204"/>
      <c r="AF62" s="86"/>
      <c r="AG62" s="87"/>
      <c r="AH62" s="94"/>
      <c r="AI62" s="86"/>
      <c r="AJ62" s="87"/>
      <c r="AK62" s="94"/>
      <c r="AL62" s="95">
        <f>AM62*2</f>
        <v>100</v>
      </c>
      <c r="AM62" s="87">
        <v>50</v>
      </c>
      <c r="AN62" s="96">
        <f>AL62/33.3</f>
        <v>3.0030030030030033</v>
      </c>
      <c r="AO62" s="95">
        <f>AP62*2.157</f>
        <v>138.048</v>
      </c>
      <c r="AP62" s="87">
        <v>64</v>
      </c>
      <c r="AQ62" s="88">
        <f>AO62/46.1</f>
        <v>2.994533622559653</v>
      </c>
      <c r="AR62" s="116"/>
      <c r="AS62" s="87"/>
      <c r="AT62" s="94"/>
      <c r="AU62" s="86"/>
      <c r="AV62" s="87"/>
      <c r="AW62" s="94"/>
      <c r="AX62" s="86"/>
      <c r="AY62" s="87"/>
      <c r="AZ62" s="94"/>
      <c r="BA62" s="86"/>
      <c r="BB62" s="87"/>
      <c r="BC62" s="94"/>
      <c r="BD62" s="216">
        <f>SUM(AH62,AK62,AN62,AQ62,AT62,AW62,AZ62,BC62)</f>
        <v>5.997536625562656</v>
      </c>
      <c r="BE62" s="217"/>
      <c r="BF62" s="244" t="s">
        <v>279</v>
      </c>
      <c r="BG62" s="245"/>
      <c r="BH62" s="245"/>
      <c r="BI62" s="246"/>
    </row>
    <row r="63" spans="1:67" s="6" customFormat="1" ht="30.75" customHeight="1">
      <c r="A63" s="112"/>
      <c r="B63" s="250" t="s">
        <v>298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2"/>
      <c r="P63" s="214"/>
      <c r="Q63" s="205"/>
      <c r="R63" s="214"/>
      <c r="S63" s="215"/>
      <c r="T63" s="261"/>
      <c r="U63" s="221"/>
      <c r="V63" s="281"/>
      <c r="W63" s="221"/>
      <c r="X63" s="261"/>
      <c r="Y63" s="221"/>
      <c r="Z63" s="281"/>
      <c r="AA63" s="221"/>
      <c r="AB63" s="281"/>
      <c r="AC63" s="221"/>
      <c r="AD63" s="214"/>
      <c r="AE63" s="215"/>
      <c r="AF63" s="86"/>
      <c r="AG63" s="87"/>
      <c r="AH63" s="94"/>
      <c r="AI63" s="86"/>
      <c r="AJ63" s="87"/>
      <c r="AK63" s="94"/>
      <c r="AL63" s="86"/>
      <c r="AM63" s="87"/>
      <c r="AN63" s="94"/>
      <c r="AO63" s="86"/>
      <c r="AP63" s="87"/>
      <c r="AQ63" s="94"/>
      <c r="AR63" s="86"/>
      <c r="AS63" s="87"/>
      <c r="AT63" s="94"/>
      <c r="AU63" s="86"/>
      <c r="AV63" s="87"/>
      <c r="AW63" s="94"/>
      <c r="AX63" s="86"/>
      <c r="AY63" s="87"/>
      <c r="AZ63" s="94"/>
      <c r="BA63" s="86"/>
      <c r="BB63" s="87"/>
      <c r="BC63" s="94"/>
      <c r="BD63" s="216"/>
      <c r="BE63" s="215"/>
      <c r="BF63" s="232"/>
      <c r="BG63" s="233"/>
      <c r="BH63" s="233"/>
      <c r="BI63" s="234"/>
      <c r="BK63" s="1"/>
      <c r="BL63" s="1"/>
      <c r="BM63" s="1"/>
      <c r="BN63" s="1"/>
      <c r="BO63" s="1"/>
    </row>
    <row r="64" spans="1:67" s="6" customFormat="1" ht="56.25" customHeight="1">
      <c r="A64" s="112" t="s">
        <v>170</v>
      </c>
      <c r="B64" s="180" t="s">
        <v>202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2"/>
      <c r="P64" s="214">
        <v>6</v>
      </c>
      <c r="Q64" s="205"/>
      <c r="R64" s="214">
        <v>5</v>
      </c>
      <c r="S64" s="204"/>
      <c r="T64" s="261">
        <f>SUM(AF64,AI64,AL64,AO64,AR64,AU64,AX64,BA64)</f>
        <v>224</v>
      </c>
      <c r="U64" s="221"/>
      <c r="V64" s="222">
        <f>SUM(AG64,AJ64,AM64,AP64,AS64,AV64,AY64,BB64)</f>
        <v>128</v>
      </c>
      <c r="W64" s="223"/>
      <c r="X64" s="204">
        <v>96</v>
      </c>
      <c r="Y64" s="205"/>
      <c r="Z64" s="214">
        <v>32</v>
      </c>
      <c r="AA64" s="205"/>
      <c r="AB64" s="214"/>
      <c r="AC64" s="205"/>
      <c r="AD64" s="214"/>
      <c r="AE64" s="204"/>
      <c r="AF64" s="86"/>
      <c r="AG64" s="87"/>
      <c r="AH64" s="94"/>
      <c r="AI64" s="86"/>
      <c r="AJ64" s="87"/>
      <c r="AK64" s="94"/>
      <c r="AL64" s="86"/>
      <c r="AM64" s="87"/>
      <c r="AN64" s="94"/>
      <c r="AO64" s="86"/>
      <c r="AP64" s="87"/>
      <c r="AQ64" s="94"/>
      <c r="AR64" s="95">
        <f>AS64*1.75</f>
        <v>112</v>
      </c>
      <c r="AS64" s="87">
        <f>(X64+Z64)/2</f>
        <v>64</v>
      </c>
      <c r="AT64" s="88">
        <f>AR64/37.3</f>
        <v>3.0026809651474533</v>
      </c>
      <c r="AU64" s="86">
        <f>AV64*1.75</f>
        <v>112</v>
      </c>
      <c r="AV64" s="87">
        <f>(X64+Z64)/2</f>
        <v>64</v>
      </c>
      <c r="AW64" s="88">
        <f>AU64/37.3</f>
        <v>3.0026809651474533</v>
      </c>
      <c r="AX64" s="86"/>
      <c r="AY64" s="87"/>
      <c r="AZ64" s="94"/>
      <c r="BA64" s="86"/>
      <c r="BB64" s="87"/>
      <c r="BC64" s="94"/>
      <c r="BD64" s="216">
        <f>SUM(AH64,AK64,AN64,AQ64,AT64,AW64,AZ64,BC64)</f>
        <v>6.005361930294907</v>
      </c>
      <c r="BE64" s="217"/>
      <c r="BF64" s="244" t="s">
        <v>278</v>
      </c>
      <c r="BG64" s="245"/>
      <c r="BH64" s="245"/>
      <c r="BI64" s="246"/>
      <c r="BK64" s="1"/>
      <c r="BL64" s="1"/>
      <c r="BM64" s="1"/>
      <c r="BN64" s="1"/>
      <c r="BO64" s="1"/>
    </row>
    <row r="65" spans="1:61" s="6" customFormat="1" ht="30.75" customHeight="1">
      <c r="A65" s="112"/>
      <c r="B65" s="250" t="s">
        <v>199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2"/>
      <c r="P65" s="214"/>
      <c r="Q65" s="205"/>
      <c r="R65" s="214"/>
      <c r="S65" s="215"/>
      <c r="T65" s="185"/>
      <c r="U65" s="221"/>
      <c r="V65" s="409"/>
      <c r="W65" s="377"/>
      <c r="X65" s="185"/>
      <c r="Y65" s="221"/>
      <c r="Z65" s="187"/>
      <c r="AA65" s="221"/>
      <c r="AB65" s="243"/>
      <c r="AC65" s="221"/>
      <c r="AD65" s="214"/>
      <c r="AE65" s="215"/>
      <c r="AF65" s="86"/>
      <c r="AG65" s="87"/>
      <c r="AH65" s="94"/>
      <c r="AI65" s="86"/>
      <c r="AJ65" s="87"/>
      <c r="AK65" s="94"/>
      <c r="AL65" s="86"/>
      <c r="AM65" s="87"/>
      <c r="AN65" s="102"/>
      <c r="AO65" s="117"/>
      <c r="AP65" s="118"/>
      <c r="AQ65" s="119"/>
      <c r="AR65" s="116"/>
      <c r="AS65" s="87"/>
      <c r="AT65" s="94"/>
      <c r="AU65" s="86"/>
      <c r="AV65" s="87"/>
      <c r="AW65" s="94"/>
      <c r="AX65" s="86"/>
      <c r="AY65" s="87"/>
      <c r="AZ65" s="94"/>
      <c r="BA65" s="86"/>
      <c r="BB65" s="87"/>
      <c r="BC65" s="94"/>
      <c r="BD65" s="216"/>
      <c r="BE65" s="217"/>
      <c r="BF65" s="232"/>
      <c r="BG65" s="233"/>
      <c r="BH65" s="233"/>
      <c r="BI65" s="234"/>
    </row>
    <row r="66" spans="1:61" s="6" customFormat="1" ht="56.25" customHeight="1">
      <c r="A66" s="111" t="s">
        <v>171</v>
      </c>
      <c r="B66" s="180" t="s">
        <v>158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2"/>
      <c r="P66" s="214"/>
      <c r="Q66" s="205"/>
      <c r="R66" s="214">
        <v>7</v>
      </c>
      <c r="S66" s="204"/>
      <c r="T66" s="185">
        <f>SUM(AF66,AI66,AL66,AO66,AR66,AU66,AX66,BA66)</f>
        <v>96</v>
      </c>
      <c r="U66" s="186"/>
      <c r="V66" s="187">
        <f>SUM(AG66,AJ66,AM66,AP66,AS66,AV66,AY66,BB66)</f>
        <v>48</v>
      </c>
      <c r="W66" s="188"/>
      <c r="X66" s="375">
        <f>H21*2</f>
        <v>32</v>
      </c>
      <c r="Y66" s="213"/>
      <c r="Z66" s="214">
        <v>16</v>
      </c>
      <c r="AA66" s="205"/>
      <c r="AB66" s="214"/>
      <c r="AC66" s="205"/>
      <c r="AD66" s="214"/>
      <c r="AE66" s="204"/>
      <c r="AF66" s="86"/>
      <c r="AG66" s="87"/>
      <c r="AH66" s="94"/>
      <c r="AI66" s="86"/>
      <c r="AJ66" s="87"/>
      <c r="AK66" s="94"/>
      <c r="AL66" s="86"/>
      <c r="AM66" s="87"/>
      <c r="AN66" s="102"/>
      <c r="AO66" s="86"/>
      <c r="AP66" s="87"/>
      <c r="AQ66" s="88"/>
      <c r="AR66" s="116"/>
      <c r="AS66" s="87"/>
      <c r="AT66" s="94"/>
      <c r="AU66" s="86"/>
      <c r="AV66" s="87"/>
      <c r="AW66" s="94"/>
      <c r="AX66" s="95">
        <f>AY66*2</f>
        <v>96</v>
      </c>
      <c r="AY66" s="113">
        <f>X66+Z66+AB66</f>
        <v>48</v>
      </c>
      <c r="AZ66" s="88">
        <f>AX66/32</f>
        <v>3</v>
      </c>
      <c r="BA66" s="86"/>
      <c r="BB66" s="87"/>
      <c r="BC66" s="94"/>
      <c r="BD66" s="216">
        <f>SUM(AH66,AK66,AN66,AQ66,AT66,AW66,AZ66,BC66)</f>
        <v>3</v>
      </c>
      <c r="BE66" s="217"/>
      <c r="BF66" s="244" t="s">
        <v>282</v>
      </c>
      <c r="BG66" s="245"/>
      <c r="BH66" s="245"/>
      <c r="BI66" s="246"/>
    </row>
    <row r="67" spans="1:61" s="6" customFormat="1" ht="56.25" customHeight="1">
      <c r="A67" s="111" t="s">
        <v>172</v>
      </c>
      <c r="B67" s="180" t="s">
        <v>159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2"/>
      <c r="P67" s="214"/>
      <c r="Q67" s="205"/>
      <c r="R67" s="214">
        <v>7</v>
      </c>
      <c r="S67" s="204"/>
      <c r="T67" s="185">
        <f>SUM(AF67,AI67,AL67,AO67,AR67,AU67,AX67,BA67)</f>
        <v>96</v>
      </c>
      <c r="U67" s="186"/>
      <c r="V67" s="187">
        <f>SUM(AG67,AJ67,AM67,AP67,AS67,AV67,AY67,BB67)</f>
        <v>48</v>
      </c>
      <c r="W67" s="188"/>
      <c r="X67" s="375">
        <f>H21*2</f>
        <v>32</v>
      </c>
      <c r="Y67" s="213"/>
      <c r="Z67" s="214">
        <v>16</v>
      </c>
      <c r="AA67" s="205"/>
      <c r="AB67" s="214"/>
      <c r="AC67" s="205"/>
      <c r="AD67" s="214"/>
      <c r="AE67" s="204"/>
      <c r="AF67" s="86"/>
      <c r="AG67" s="87"/>
      <c r="AH67" s="94"/>
      <c r="AI67" s="86"/>
      <c r="AJ67" s="87"/>
      <c r="AK67" s="94"/>
      <c r="AL67" s="86"/>
      <c r="AM67" s="87"/>
      <c r="AN67" s="102"/>
      <c r="AO67" s="86"/>
      <c r="AP67" s="87"/>
      <c r="AQ67" s="94"/>
      <c r="AR67" s="116"/>
      <c r="AS67" s="87"/>
      <c r="AT67" s="94"/>
      <c r="AU67" s="86"/>
      <c r="AV67" s="87"/>
      <c r="AW67" s="94"/>
      <c r="AX67" s="124">
        <f>AY67*2</f>
        <v>96</v>
      </c>
      <c r="AY67" s="113">
        <f>X67+Z67+AB67</f>
        <v>48</v>
      </c>
      <c r="AZ67" s="88">
        <f>AX67/32</f>
        <v>3</v>
      </c>
      <c r="BA67" s="86"/>
      <c r="BB67" s="87"/>
      <c r="BC67" s="94"/>
      <c r="BD67" s="216">
        <f>SUM(AH67,AK67,AN67,AQ67,AT67,AW67,AZ67,BC67)</f>
        <v>3</v>
      </c>
      <c r="BE67" s="217"/>
      <c r="BF67" s="244" t="s">
        <v>283</v>
      </c>
      <c r="BG67" s="245"/>
      <c r="BH67" s="245"/>
      <c r="BI67" s="246"/>
    </row>
    <row r="68" spans="1:61" s="6" customFormat="1" ht="31.5" customHeight="1">
      <c r="A68" s="111" t="s">
        <v>173</v>
      </c>
      <c r="B68" s="218" t="s">
        <v>157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20"/>
      <c r="P68" s="214"/>
      <c r="Q68" s="205"/>
      <c r="R68" s="214">
        <v>8</v>
      </c>
      <c r="S68" s="204"/>
      <c r="T68" s="261">
        <f>SUM(AF68,AI68,AL68,AO68,AR68,AU68,AX68,BA68)</f>
        <v>100</v>
      </c>
      <c r="U68" s="221"/>
      <c r="V68" s="222">
        <f>SUM(AG68,AJ68,AM68,AP68,AS68,AV68,AY68,BB68)</f>
        <v>50</v>
      </c>
      <c r="W68" s="223"/>
      <c r="X68" s="204">
        <v>34</v>
      </c>
      <c r="Y68" s="205"/>
      <c r="Z68" s="214"/>
      <c r="AA68" s="205"/>
      <c r="AB68" s="214">
        <v>16</v>
      </c>
      <c r="AC68" s="205"/>
      <c r="AD68" s="214"/>
      <c r="AE68" s="204"/>
      <c r="AF68" s="86"/>
      <c r="AG68" s="87"/>
      <c r="AH68" s="94"/>
      <c r="AI68" s="86"/>
      <c r="AJ68" s="87"/>
      <c r="AK68" s="94"/>
      <c r="AL68" s="86"/>
      <c r="AM68" s="87"/>
      <c r="AN68" s="102"/>
      <c r="AO68" s="117"/>
      <c r="AP68" s="118"/>
      <c r="AQ68" s="119"/>
      <c r="AR68" s="116"/>
      <c r="AS68" s="87"/>
      <c r="AT68" s="94"/>
      <c r="AU68" s="86"/>
      <c r="AV68" s="87"/>
      <c r="AW68" s="94"/>
      <c r="AX68" s="86"/>
      <c r="AY68" s="87"/>
      <c r="AZ68" s="94"/>
      <c r="BA68" s="86">
        <f>BB68*2</f>
        <v>100</v>
      </c>
      <c r="BB68" s="87">
        <f>X68+Z68+AB68</f>
        <v>50</v>
      </c>
      <c r="BC68" s="88">
        <f>BA68/33.3</f>
        <v>3.0030030030030033</v>
      </c>
      <c r="BD68" s="216">
        <f>SUM(AH68,AK68,AN68,AQ68,AT68,AW68,AZ68,BC68)</f>
        <v>3.0030030030030033</v>
      </c>
      <c r="BE68" s="217"/>
      <c r="BF68" s="244" t="s">
        <v>273</v>
      </c>
      <c r="BG68" s="245"/>
      <c r="BH68" s="245"/>
      <c r="BI68" s="246"/>
    </row>
    <row r="69" spans="1:67" s="6" customFormat="1" ht="31.5" customHeight="1">
      <c r="A69" s="111"/>
      <c r="B69" s="250" t="s">
        <v>237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2"/>
      <c r="P69" s="214"/>
      <c r="Q69" s="205"/>
      <c r="R69" s="214"/>
      <c r="S69" s="204"/>
      <c r="T69" s="185"/>
      <c r="U69" s="221"/>
      <c r="V69" s="409"/>
      <c r="W69" s="377"/>
      <c r="X69" s="185"/>
      <c r="Y69" s="221"/>
      <c r="Z69" s="187"/>
      <c r="AA69" s="221"/>
      <c r="AB69" s="243"/>
      <c r="AC69" s="221"/>
      <c r="AD69" s="214"/>
      <c r="AE69" s="204"/>
      <c r="AF69" s="86"/>
      <c r="AG69" s="87"/>
      <c r="AH69" s="94"/>
      <c r="AI69" s="86"/>
      <c r="AJ69" s="87"/>
      <c r="AK69" s="94"/>
      <c r="AL69" s="86"/>
      <c r="AM69" s="87"/>
      <c r="AN69" s="94"/>
      <c r="AO69" s="86"/>
      <c r="AP69" s="87"/>
      <c r="AQ69" s="94"/>
      <c r="AR69" s="86"/>
      <c r="AS69" s="87"/>
      <c r="AT69" s="94"/>
      <c r="AU69" s="86"/>
      <c r="AV69" s="87"/>
      <c r="AW69" s="94"/>
      <c r="AX69" s="86"/>
      <c r="AY69" s="87"/>
      <c r="AZ69" s="94"/>
      <c r="BA69" s="86"/>
      <c r="BB69" s="87"/>
      <c r="BC69" s="94"/>
      <c r="BD69" s="216"/>
      <c r="BE69" s="215"/>
      <c r="BF69" s="244"/>
      <c r="BG69" s="245"/>
      <c r="BH69" s="245"/>
      <c r="BI69" s="246"/>
      <c r="BK69" s="1"/>
      <c r="BL69" s="1"/>
      <c r="BM69" s="1"/>
      <c r="BN69" s="1"/>
      <c r="BO69" s="1"/>
    </row>
    <row r="70" spans="1:67" s="6" customFormat="1" ht="32.25" customHeight="1">
      <c r="A70" s="112" t="s">
        <v>174</v>
      </c>
      <c r="B70" s="180" t="s">
        <v>239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2"/>
      <c r="P70" s="214">
        <v>3</v>
      </c>
      <c r="Q70" s="205"/>
      <c r="R70" s="214"/>
      <c r="S70" s="215"/>
      <c r="T70" s="185">
        <f>AF70+AI70+AL70+AO70+AR70+AU70+AX70+BA70</f>
        <v>104.03999999999999</v>
      </c>
      <c r="U70" s="221"/>
      <c r="V70" s="187">
        <f>AG70+AJ70+AM70+AP70+AS70+AV70+AY70+BB70</f>
        <v>52.019999999999996</v>
      </c>
      <c r="W70" s="188"/>
      <c r="X70" s="260">
        <f>H18*2</f>
        <v>34</v>
      </c>
      <c r="Y70" s="205"/>
      <c r="Z70" s="214"/>
      <c r="AA70" s="205"/>
      <c r="AB70" s="212">
        <f>H18*1.06</f>
        <v>18.02</v>
      </c>
      <c r="AC70" s="213"/>
      <c r="AD70" s="214"/>
      <c r="AE70" s="215"/>
      <c r="AF70" s="86"/>
      <c r="AG70" s="87"/>
      <c r="AH70" s="94"/>
      <c r="AI70" s="86"/>
      <c r="AJ70" s="87"/>
      <c r="AK70" s="94"/>
      <c r="AL70" s="95">
        <f>AM70*2</f>
        <v>104.03999999999999</v>
      </c>
      <c r="AM70" s="113">
        <f>X70+Z70+AB70</f>
        <v>52.019999999999996</v>
      </c>
      <c r="AN70" s="88">
        <f>AL70/34.7</f>
        <v>2.9982708933717572</v>
      </c>
      <c r="AO70" s="86"/>
      <c r="AP70" s="113"/>
      <c r="AQ70" s="88"/>
      <c r="AR70" s="95"/>
      <c r="AS70" s="113"/>
      <c r="AT70" s="88"/>
      <c r="AU70" s="86"/>
      <c r="AV70" s="87"/>
      <c r="AW70" s="94"/>
      <c r="AX70" s="86"/>
      <c r="AY70" s="87"/>
      <c r="AZ70" s="94"/>
      <c r="BA70" s="86"/>
      <c r="BB70" s="87"/>
      <c r="BC70" s="94"/>
      <c r="BD70" s="241">
        <f>AH70+AK70+AN70+AQ70+AT70+AW70+AZ70+BC70</f>
        <v>2.9982708933717572</v>
      </c>
      <c r="BE70" s="257"/>
      <c r="BF70" s="244" t="s">
        <v>277</v>
      </c>
      <c r="BG70" s="245"/>
      <c r="BH70" s="245"/>
      <c r="BI70" s="246"/>
      <c r="BK70" s="1"/>
      <c r="BL70" s="1"/>
      <c r="BM70" s="1"/>
      <c r="BN70" s="1"/>
      <c r="BO70" s="1"/>
    </row>
    <row r="71" spans="1:67" s="6" customFormat="1" ht="33" customHeight="1">
      <c r="A71" s="112" t="s">
        <v>328</v>
      </c>
      <c r="B71" s="180" t="s">
        <v>238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2"/>
      <c r="P71" s="214">
        <v>5.4</v>
      </c>
      <c r="Q71" s="205"/>
      <c r="R71" s="214"/>
      <c r="S71" s="204"/>
      <c r="T71" s="185">
        <f>AF71+AI71+AL71+AO71+AR71+AU71+AX71+BA71</f>
        <v>264</v>
      </c>
      <c r="U71" s="221"/>
      <c r="V71" s="222">
        <f>AG71+AJ71+AM71+AP71+AS71+AV71+AY71+BB71</f>
        <v>132</v>
      </c>
      <c r="W71" s="223"/>
      <c r="X71" s="204">
        <f>AC19*2+H20*2</f>
        <v>66</v>
      </c>
      <c r="Y71" s="205"/>
      <c r="Z71" s="214">
        <f>AC19*2+H20*2</f>
        <v>66</v>
      </c>
      <c r="AA71" s="205"/>
      <c r="AB71" s="214"/>
      <c r="AC71" s="205"/>
      <c r="AD71" s="214"/>
      <c r="AE71" s="204"/>
      <c r="AF71" s="86"/>
      <c r="AG71" s="87"/>
      <c r="AH71" s="94"/>
      <c r="AI71" s="86"/>
      <c r="AJ71" s="87"/>
      <c r="AK71" s="94"/>
      <c r="AL71" s="86"/>
      <c r="AM71" s="87"/>
      <c r="AN71" s="94"/>
      <c r="AO71" s="95">
        <f>AP71*2</f>
        <v>128</v>
      </c>
      <c r="AP71" s="87">
        <f>AC19*(2+2)</f>
        <v>64</v>
      </c>
      <c r="AQ71" s="88">
        <f>AO71/42.6</f>
        <v>3.004694835680751</v>
      </c>
      <c r="AR71" s="95">
        <f>AS71*2</f>
        <v>136</v>
      </c>
      <c r="AS71" s="87">
        <f>H20*(2+2)</f>
        <v>68</v>
      </c>
      <c r="AT71" s="88">
        <f>AR71/45.4</f>
        <v>2.995594713656388</v>
      </c>
      <c r="AU71" s="86"/>
      <c r="AV71" s="87"/>
      <c r="AW71" s="94"/>
      <c r="AX71" s="86"/>
      <c r="AY71" s="87"/>
      <c r="AZ71" s="94"/>
      <c r="BA71" s="86"/>
      <c r="BB71" s="87"/>
      <c r="BC71" s="94"/>
      <c r="BD71" s="241">
        <f>AH71+AK71+AN71+AQ71+AT71+AW71+AZ71+BC71</f>
        <v>6.000289549337139</v>
      </c>
      <c r="BE71" s="257"/>
      <c r="BF71" s="244" t="s">
        <v>354</v>
      </c>
      <c r="BG71" s="245"/>
      <c r="BH71" s="245"/>
      <c r="BI71" s="246"/>
      <c r="BK71" s="1"/>
      <c r="BL71" s="1"/>
      <c r="BM71" s="1"/>
      <c r="BN71" s="1"/>
      <c r="BO71" s="1"/>
    </row>
    <row r="72" spans="1:61" s="6" customFormat="1" ht="31.5" customHeight="1">
      <c r="A72" s="111"/>
      <c r="B72" s="250" t="s">
        <v>301</v>
      </c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2"/>
      <c r="P72" s="214"/>
      <c r="Q72" s="205"/>
      <c r="R72" s="214"/>
      <c r="S72" s="215"/>
      <c r="T72" s="185"/>
      <c r="U72" s="221"/>
      <c r="V72" s="243"/>
      <c r="W72" s="221"/>
      <c r="X72" s="185"/>
      <c r="Y72" s="221"/>
      <c r="Z72" s="243"/>
      <c r="AA72" s="221"/>
      <c r="AB72" s="243"/>
      <c r="AC72" s="221"/>
      <c r="AD72" s="214"/>
      <c r="AE72" s="215"/>
      <c r="AF72" s="86"/>
      <c r="AG72" s="87"/>
      <c r="AH72" s="94"/>
      <c r="AI72" s="86"/>
      <c r="AJ72" s="87"/>
      <c r="AK72" s="94"/>
      <c r="AL72" s="86"/>
      <c r="AM72" s="87"/>
      <c r="AN72" s="102"/>
      <c r="AO72" s="86"/>
      <c r="AP72" s="87"/>
      <c r="AQ72" s="94"/>
      <c r="AR72" s="116"/>
      <c r="AS72" s="87"/>
      <c r="AT72" s="94"/>
      <c r="AU72" s="86"/>
      <c r="AV72" s="87"/>
      <c r="AW72" s="94"/>
      <c r="AX72" s="116"/>
      <c r="AY72" s="87"/>
      <c r="AZ72" s="94"/>
      <c r="BA72" s="86"/>
      <c r="BB72" s="87"/>
      <c r="BC72" s="94"/>
      <c r="BD72" s="216"/>
      <c r="BE72" s="215"/>
      <c r="BF72" s="232"/>
      <c r="BG72" s="233"/>
      <c r="BH72" s="233"/>
      <c r="BI72" s="234"/>
    </row>
    <row r="73" spans="1:61" s="6" customFormat="1" ht="34.5" customHeight="1">
      <c r="A73" s="183" t="s">
        <v>351</v>
      </c>
      <c r="B73" s="218" t="s">
        <v>230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20"/>
      <c r="P73" s="214">
        <v>5</v>
      </c>
      <c r="Q73" s="205"/>
      <c r="R73" s="214">
        <v>4</v>
      </c>
      <c r="S73" s="204"/>
      <c r="T73" s="185">
        <f>AF73+AI73+AL73+AO73+AR73+AU73+AX73+BA73</f>
        <v>229.95999999999998</v>
      </c>
      <c r="U73" s="221"/>
      <c r="V73" s="187">
        <f>AG73+AJ73+AM73+AP73+AS73+AV73+AY73+BB73</f>
        <v>129.98</v>
      </c>
      <c r="W73" s="188"/>
      <c r="X73" s="204">
        <f>AC19*2+H20*2</f>
        <v>66</v>
      </c>
      <c r="Y73" s="205"/>
      <c r="Z73" s="212">
        <f>AC19*0.94+H20*1</f>
        <v>32.04</v>
      </c>
      <c r="AA73" s="213"/>
      <c r="AB73" s="212">
        <f>AC19*0.94+H20*1</f>
        <v>32.04</v>
      </c>
      <c r="AC73" s="213"/>
      <c r="AD73" s="214"/>
      <c r="AE73" s="204"/>
      <c r="AF73" s="86"/>
      <c r="AG73" s="87"/>
      <c r="AH73" s="94"/>
      <c r="AI73" s="86"/>
      <c r="AJ73" s="87"/>
      <c r="AK73" s="94"/>
      <c r="AL73" s="86"/>
      <c r="AM73" s="87"/>
      <c r="AN73" s="94"/>
      <c r="AO73" s="95">
        <f>AP73*1.625</f>
        <v>130</v>
      </c>
      <c r="AP73" s="113">
        <f>AC19*(2+2+1)</f>
        <v>80</v>
      </c>
      <c r="AQ73" s="88">
        <f>AO73/43.4</f>
        <v>2.9953917050691246</v>
      </c>
      <c r="AR73" s="95">
        <f>AS73*2</f>
        <v>99.96</v>
      </c>
      <c r="AS73" s="87">
        <f>H20*(1.94+0+1)</f>
        <v>49.98</v>
      </c>
      <c r="AT73" s="88">
        <f>AR73/33.3</f>
        <v>3.001801801801802</v>
      </c>
      <c r="AU73" s="86"/>
      <c r="AV73" s="87"/>
      <c r="AW73" s="94"/>
      <c r="AX73" s="86"/>
      <c r="AY73" s="87"/>
      <c r="AZ73" s="94"/>
      <c r="BA73" s="86"/>
      <c r="BB73" s="87"/>
      <c r="BC73" s="94"/>
      <c r="BD73" s="241">
        <f>AH73+AK73+AN73+AQ73+AT73+AW73+AZ73+BC73</f>
        <v>5.997193506870927</v>
      </c>
      <c r="BE73" s="257"/>
      <c r="BF73" s="235" t="s">
        <v>355</v>
      </c>
      <c r="BG73" s="236"/>
      <c r="BH73" s="236"/>
      <c r="BI73" s="237"/>
    </row>
    <row r="74" spans="1:61" s="6" customFormat="1" ht="56.25" customHeight="1">
      <c r="A74" s="184"/>
      <c r="B74" s="384" t="s">
        <v>420</v>
      </c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6"/>
      <c r="P74" s="214"/>
      <c r="Q74" s="205"/>
      <c r="R74" s="214"/>
      <c r="S74" s="204"/>
      <c r="T74" s="185">
        <f>AF74+AI74+AL74+AO74+AR74+AU74+AX74+BA74</f>
        <v>59.925</v>
      </c>
      <c r="U74" s="221"/>
      <c r="V74" s="187">
        <f>AG74+AJ74+AM74+AP74+AS74+AV74+AY74+BB74</f>
        <v>15.979999999999999</v>
      </c>
      <c r="W74" s="188"/>
      <c r="X74" s="204"/>
      <c r="Y74" s="205"/>
      <c r="Z74" s="214"/>
      <c r="AA74" s="205"/>
      <c r="AB74" s="212">
        <f>H20*0.94</f>
        <v>15.979999999999999</v>
      </c>
      <c r="AC74" s="213"/>
      <c r="AD74" s="214"/>
      <c r="AE74" s="204"/>
      <c r="AF74" s="86"/>
      <c r="AG74" s="87"/>
      <c r="AH74" s="94"/>
      <c r="AI74" s="86"/>
      <c r="AJ74" s="87"/>
      <c r="AK74" s="94"/>
      <c r="AL74" s="86"/>
      <c r="AM74" s="87"/>
      <c r="AN74" s="94"/>
      <c r="AO74" s="86"/>
      <c r="AP74" s="87"/>
      <c r="AQ74" s="94"/>
      <c r="AR74" s="95">
        <f>AS74*3.75</f>
        <v>59.925</v>
      </c>
      <c r="AS74" s="87">
        <f>AB74</f>
        <v>15.979999999999999</v>
      </c>
      <c r="AT74" s="88">
        <v>2</v>
      </c>
      <c r="AU74" s="86"/>
      <c r="AV74" s="87"/>
      <c r="AW74" s="94"/>
      <c r="AX74" s="86"/>
      <c r="AY74" s="87"/>
      <c r="AZ74" s="94"/>
      <c r="BA74" s="86"/>
      <c r="BB74" s="87"/>
      <c r="BC74" s="94"/>
      <c r="BD74" s="241">
        <f>AH74+AK74+AN74+AQ74+AT74+AW74+AZ74+BC74</f>
        <v>2</v>
      </c>
      <c r="BE74" s="257"/>
      <c r="BF74" s="238"/>
      <c r="BG74" s="239"/>
      <c r="BH74" s="239"/>
      <c r="BI74" s="240"/>
    </row>
    <row r="75" spans="1:61" s="6" customFormat="1" ht="31.5" customHeight="1">
      <c r="A75" s="111"/>
      <c r="B75" s="250" t="s">
        <v>302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2"/>
      <c r="P75" s="214"/>
      <c r="Q75" s="205"/>
      <c r="R75" s="214"/>
      <c r="S75" s="215"/>
      <c r="T75" s="535"/>
      <c r="U75" s="377"/>
      <c r="V75" s="243"/>
      <c r="W75" s="221"/>
      <c r="X75" s="185"/>
      <c r="Y75" s="221"/>
      <c r="Z75" s="243"/>
      <c r="AA75" s="221"/>
      <c r="AB75" s="243"/>
      <c r="AC75" s="221"/>
      <c r="AD75" s="214"/>
      <c r="AE75" s="215"/>
      <c r="AF75" s="86"/>
      <c r="AG75" s="87"/>
      <c r="AH75" s="94"/>
      <c r="AI75" s="86"/>
      <c r="AJ75" s="87"/>
      <c r="AK75" s="94"/>
      <c r="AL75" s="86"/>
      <c r="AM75" s="87"/>
      <c r="AN75" s="102"/>
      <c r="AO75" s="86"/>
      <c r="AP75" s="87"/>
      <c r="AQ75" s="94"/>
      <c r="AR75" s="116"/>
      <c r="AS75" s="87"/>
      <c r="AT75" s="94"/>
      <c r="AU75" s="86"/>
      <c r="AV75" s="87"/>
      <c r="AW75" s="94"/>
      <c r="AX75" s="116"/>
      <c r="AY75" s="87"/>
      <c r="AZ75" s="94"/>
      <c r="BA75" s="86"/>
      <c r="BB75" s="87"/>
      <c r="BC75" s="94"/>
      <c r="BD75" s="216"/>
      <c r="BE75" s="215"/>
      <c r="BF75" s="232"/>
      <c r="BG75" s="233"/>
      <c r="BH75" s="233"/>
      <c r="BI75" s="234"/>
    </row>
    <row r="76" spans="1:62" s="6" customFormat="1" ht="59.25" customHeight="1">
      <c r="A76" s="183" t="s">
        <v>352</v>
      </c>
      <c r="B76" s="180" t="s">
        <v>231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2"/>
      <c r="P76" s="214">
        <v>6</v>
      </c>
      <c r="Q76" s="205"/>
      <c r="R76" s="214">
        <v>5</v>
      </c>
      <c r="S76" s="204"/>
      <c r="T76" s="185">
        <f>AF76+AI76+AL76+AO76+AR76+AU76+AX76+BA76</f>
        <v>264</v>
      </c>
      <c r="U76" s="221"/>
      <c r="V76" s="222">
        <f>AG76+AJ76+AM76+AP76+AS76+AV76+AY76+BB76</f>
        <v>132</v>
      </c>
      <c r="W76" s="223"/>
      <c r="X76" s="204">
        <f>H20*2+AC20*2</f>
        <v>66</v>
      </c>
      <c r="Y76" s="205"/>
      <c r="Z76" s="212">
        <f>H20*1.06+AC20*1</f>
        <v>34.019999999999996</v>
      </c>
      <c r="AA76" s="213"/>
      <c r="AB76" s="212">
        <f>H20*0.94+AC20*1</f>
        <v>31.979999999999997</v>
      </c>
      <c r="AC76" s="213"/>
      <c r="AD76" s="214"/>
      <c r="AE76" s="204"/>
      <c r="AF76" s="86"/>
      <c r="AG76" s="87"/>
      <c r="AH76" s="94"/>
      <c r="AI76" s="86"/>
      <c r="AJ76" s="87"/>
      <c r="AK76" s="94"/>
      <c r="AL76" s="86"/>
      <c r="AM76" s="87"/>
      <c r="AN76" s="94"/>
      <c r="AO76" s="86"/>
      <c r="AP76" s="87"/>
      <c r="AQ76" s="94"/>
      <c r="AR76" s="95">
        <f>AS76*2</f>
        <v>136</v>
      </c>
      <c r="AS76" s="87">
        <f>H20*(2+1+1)</f>
        <v>68</v>
      </c>
      <c r="AT76" s="88">
        <f>AR76/45.4</f>
        <v>2.995594713656388</v>
      </c>
      <c r="AU76" s="86">
        <f>AV76*2</f>
        <v>128</v>
      </c>
      <c r="AV76" s="87">
        <f>AC20*(2+1+1)</f>
        <v>64</v>
      </c>
      <c r="AW76" s="88">
        <f>AU76/42.6</f>
        <v>3.004694835680751</v>
      </c>
      <c r="AX76" s="86"/>
      <c r="AY76" s="87"/>
      <c r="AZ76" s="94"/>
      <c r="BA76" s="86"/>
      <c r="BB76" s="87"/>
      <c r="BC76" s="94"/>
      <c r="BD76" s="241">
        <f>AT76+AW76</f>
        <v>6.000289549337139</v>
      </c>
      <c r="BE76" s="242"/>
      <c r="BF76" s="235" t="s">
        <v>356</v>
      </c>
      <c r="BG76" s="236"/>
      <c r="BH76" s="236"/>
      <c r="BI76" s="237"/>
      <c r="BJ76" s="97"/>
    </row>
    <row r="77" spans="1:61" s="6" customFormat="1" ht="58.5" customHeight="1">
      <c r="A77" s="184"/>
      <c r="B77" s="384" t="s">
        <v>421</v>
      </c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6"/>
      <c r="P77" s="214"/>
      <c r="Q77" s="205"/>
      <c r="R77" s="214"/>
      <c r="S77" s="204"/>
      <c r="T77" s="185">
        <f>AF77+AI77+AL77+AO77+AR77+AU77+AX77+BA77</f>
        <v>40</v>
      </c>
      <c r="U77" s="221"/>
      <c r="V77" s="222"/>
      <c r="W77" s="223"/>
      <c r="X77" s="204"/>
      <c r="Y77" s="205"/>
      <c r="Z77" s="214"/>
      <c r="AA77" s="205"/>
      <c r="AB77" s="214"/>
      <c r="AC77" s="205"/>
      <c r="AD77" s="214"/>
      <c r="AE77" s="204"/>
      <c r="AF77" s="86"/>
      <c r="AG77" s="87"/>
      <c r="AH77" s="94"/>
      <c r="AI77" s="86"/>
      <c r="AJ77" s="87"/>
      <c r="AK77" s="94"/>
      <c r="AL77" s="86"/>
      <c r="AM77" s="87"/>
      <c r="AN77" s="94"/>
      <c r="AO77" s="86"/>
      <c r="AP77" s="87"/>
      <c r="AQ77" s="94"/>
      <c r="AR77" s="86"/>
      <c r="AS77" s="87"/>
      <c r="AT77" s="94"/>
      <c r="AU77" s="86">
        <v>40</v>
      </c>
      <c r="AV77" s="87"/>
      <c r="AW77" s="94">
        <v>1</v>
      </c>
      <c r="AX77" s="86"/>
      <c r="AY77" s="87"/>
      <c r="AZ77" s="94"/>
      <c r="BA77" s="86"/>
      <c r="BB77" s="87"/>
      <c r="BC77" s="94"/>
      <c r="BD77" s="241">
        <f>AH77+AK77+AN77+AQ77+AT77+AW77+AZ77+BC77</f>
        <v>1</v>
      </c>
      <c r="BE77" s="257"/>
      <c r="BF77" s="238"/>
      <c r="BG77" s="239"/>
      <c r="BH77" s="239"/>
      <c r="BI77" s="240"/>
    </row>
    <row r="78" spans="1:61" s="6" customFormat="1" ht="30" customHeight="1">
      <c r="A78" s="111"/>
      <c r="B78" s="250" t="s">
        <v>227</v>
      </c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2"/>
      <c r="P78" s="214"/>
      <c r="Q78" s="205"/>
      <c r="R78" s="214"/>
      <c r="S78" s="215"/>
      <c r="T78" s="185"/>
      <c r="U78" s="221"/>
      <c r="V78" s="243"/>
      <c r="W78" s="221"/>
      <c r="X78" s="185"/>
      <c r="Y78" s="221"/>
      <c r="Z78" s="243"/>
      <c r="AA78" s="221"/>
      <c r="AB78" s="243"/>
      <c r="AC78" s="221"/>
      <c r="AD78" s="214"/>
      <c r="AE78" s="215"/>
      <c r="AF78" s="86"/>
      <c r="AG78" s="87"/>
      <c r="AH78" s="94"/>
      <c r="AI78" s="86"/>
      <c r="AJ78" s="87"/>
      <c r="AK78" s="94"/>
      <c r="AL78" s="86"/>
      <c r="AM78" s="87"/>
      <c r="AN78" s="102"/>
      <c r="AO78" s="86"/>
      <c r="AP78" s="87"/>
      <c r="AQ78" s="88"/>
      <c r="AR78" s="116"/>
      <c r="AS78" s="87"/>
      <c r="AT78" s="94"/>
      <c r="AU78" s="86"/>
      <c r="AV78" s="87"/>
      <c r="AW78" s="94"/>
      <c r="AX78" s="86"/>
      <c r="AY78" s="87"/>
      <c r="AZ78" s="94"/>
      <c r="BA78" s="86"/>
      <c r="BB78" s="87"/>
      <c r="BC78" s="94"/>
      <c r="BD78" s="216"/>
      <c r="BE78" s="215"/>
      <c r="BF78" s="232"/>
      <c r="BG78" s="233"/>
      <c r="BH78" s="233"/>
      <c r="BI78" s="234"/>
    </row>
    <row r="79" spans="1:61" s="6" customFormat="1" ht="33" customHeight="1">
      <c r="A79" s="125" t="s">
        <v>353</v>
      </c>
      <c r="B79" s="218" t="s">
        <v>228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20"/>
      <c r="P79" s="214"/>
      <c r="Q79" s="205"/>
      <c r="R79" s="214">
        <v>5</v>
      </c>
      <c r="S79" s="215"/>
      <c r="T79" s="185">
        <f>AF79+AI79+AL79+AO79+AR79+AU79+AX79+BA79</f>
        <v>104.03999999999999</v>
      </c>
      <c r="U79" s="221"/>
      <c r="V79" s="187">
        <f>AG79+AJ79+AM79+AP79+AS79+AV79+AY79+BB79</f>
        <v>52.019999999999996</v>
      </c>
      <c r="W79" s="188"/>
      <c r="X79" s="204">
        <f>H20*2</f>
        <v>34</v>
      </c>
      <c r="Y79" s="205"/>
      <c r="Z79" s="212">
        <f>H20*1.06</f>
        <v>18.02</v>
      </c>
      <c r="AA79" s="213"/>
      <c r="AB79" s="214"/>
      <c r="AC79" s="205"/>
      <c r="AD79" s="214"/>
      <c r="AE79" s="204"/>
      <c r="AF79" s="86"/>
      <c r="AG79" s="87"/>
      <c r="AH79" s="94"/>
      <c r="AI79" s="86"/>
      <c r="AJ79" s="87"/>
      <c r="AK79" s="94"/>
      <c r="AL79" s="86"/>
      <c r="AM79" s="87"/>
      <c r="AN79" s="94"/>
      <c r="AO79" s="86"/>
      <c r="AP79" s="87"/>
      <c r="AQ79" s="94"/>
      <c r="AR79" s="95">
        <f>AS79*2</f>
        <v>104.03999999999999</v>
      </c>
      <c r="AS79" s="87">
        <f>X79+Z79+AB79</f>
        <v>52.019999999999996</v>
      </c>
      <c r="AT79" s="88">
        <f>AR79/34.7</f>
        <v>2.9982708933717572</v>
      </c>
      <c r="AU79" s="86"/>
      <c r="AV79" s="87"/>
      <c r="AW79" s="94"/>
      <c r="AX79" s="86"/>
      <c r="AY79" s="87"/>
      <c r="AZ79" s="94"/>
      <c r="BA79" s="86"/>
      <c r="BB79" s="87"/>
      <c r="BC79" s="94"/>
      <c r="BD79" s="216">
        <f>SUM(AH79,AK79,AN79,AQ79,AT79,AW79,AZ79,BC79)</f>
        <v>2.9982708933717572</v>
      </c>
      <c r="BE79" s="217"/>
      <c r="BF79" s="350" t="s">
        <v>377</v>
      </c>
      <c r="BG79" s="351"/>
      <c r="BH79" s="351"/>
      <c r="BI79" s="352"/>
    </row>
    <row r="80" spans="1:61" s="6" customFormat="1" ht="33" customHeight="1">
      <c r="A80" s="183" t="s">
        <v>375</v>
      </c>
      <c r="B80" s="387" t="s">
        <v>229</v>
      </c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9"/>
      <c r="P80" s="214">
        <v>7</v>
      </c>
      <c r="Q80" s="205"/>
      <c r="R80" s="214">
        <v>6</v>
      </c>
      <c r="S80" s="204"/>
      <c r="T80" s="185">
        <f>AF80+AI80+AL80+AO80+AR80+AU80+AX80+BA80</f>
        <v>224</v>
      </c>
      <c r="U80" s="221"/>
      <c r="V80" s="222">
        <f>AG80+AJ80+AM80+AP80+AS80+AV80+AY80+BB80</f>
        <v>112</v>
      </c>
      <c r="W80" s="223"/>
      <c r="X80" s="204">
        <f>AC20*2+H21*2</f>
        <v>64</v>
      </c>
      <c r="Y80" s="205"/>
      <c r="Z80" s="214">
        <f>AC20*2+H21*1</f>
        <v>48</v>
      </c>
      <c r="AA80" s="205"/>
      <c r="AB80" s="214"/>
      <c r="AC80" s="205"/>
      <c r="AD80" s="214"/>
      <c r="AE80" s="204"/>
      <c r="AF80" s="86"/>
      <c r="AG80" s="87"/>
      <c r="AH80" s="94"/>
      <c r="AI80" s="86"/>
      <c r="AJ80" s="87"/>
      <c r="AK80" s="94"/>
      <c r="AL80" s="86"/>
      <c r="AM80" s="87"/>
      <c r="AN80" s="94"/>
      <c r="AO80" s="86"/>
      <c r="AP80" s="87"/>
      <c r="AQ80" s="94"/>
      <c r="AR80" s="86"/>
      <c r="AS80" s="87"/>
      <c r="AT80" s="94"/>
      <c r="AU80" s="95">
        <f>AV80*2</f>
        <v>128</v>
      </c>
      <c r="AV80" s="87">
        <f>AC20*(2+2)</f>
        <v>64</v>
      </c>
      <c r="AW80" s="88">
        <f>AU80/42.6</f>
        <v>3.004694835680751</v>
      </c>
      <c r="AX80" s="95">
        <f>AY80*2</f>
        <v>96</v>
      </c>
      <c r="AY80" s="87">
        <f>H21*(2+1)</f>
        <v>48</v>
      </c>
      <c r="AZ80" s="88">
        <f>AX80/32</f>
        <v>3</v>
      </c>
      <c r="BA80" s="86"/>
      <c r="BB80" s="87"/>
      <c r="BC80" s="94"/>
      <c r="BD80" s="216">
        <f>SUM(AH80,AK80,AN80,AQ80,AT80,AW80,AZ80,BC80)</f>
        <v>6.004694835680751</v>
      </c>
      <c r="BE80" s="217"/>
      <c r="BF80" s="235" t="s">
        <v>378</v>
      </c>
      <c r="BG80" s="236"/>
      <c r="BH80" s="236"/>
      <c r="BI80" s="237"/>
    </row>
    <row r="81" spans="1:61" s="6" customFormat="1" ht="58.5" customHeight="1">
      <c r="A81" s="184"/>
      <c r="B81" s="384" t="s">
        <v>422</v>
      </c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6"/>
      <c r="P81" s="214"/>
      <c r="Q81" s="205"/>
      <c r="R81" s="214"/>
      <c r="S81" s="204"/>
      <c r="T81" s="185">
        <f>AF81+AI81+AL81+AO81+AR81+AU81+AX81+BA81</f>
        <v>60</v>
      </c>
      <c r="U81" s="221"/>
      <c r="V81" s="222">
        <f>AG81+AJ81+AM81+AP81+AS81+AV81+AY81+BB81</f>
        <v>16</v>
      </c>
      <c r="W81" s="223"/>
      <c r="X81" s="204"/>
      <c r="Y81" s="205"/>
      <c r="Z81" s="214"/>
      <c r="AA81" s="205"/>
      <c r="AB81" s="214">
        <f>H21*1</f>
        <v>16</v>
      </c>
      <c r="AC81" s="205"/>
      <c r="AD81" s="214"/>
      <c r="AE81" s="204"/>
      <c r="AF81" s="86"/>
      <c r="AG81" s="87"/>
      <c r="AH81" s="94"/>
      <c r="AI81" s="86"/>
      <c r="AJ81" s="87"/>
      <c r="AK81" s="94"/>
      <c r="AL81" s="86"/>
      <c r="AM81" s="87"/>
      <c r="AN81" s="94"/>
      <c r="AO81" s="86"/>
      <c r="AP81" s="87"/>
      <c r="AQ81" s="94"/>
      <c r="AR81" s="86"/>
      <c r="AS81" s="87"/>
      <c r="AT81" s="94"/>
      <c r="AU81" s="86"/>
      <c r="AV81" s="87"/>
      <c r="AW81" s="94"/>
      <c r="AX81" s="86">
        <f>AY81*3.75</f>
        <v>60</v>
      </c>
      <c r="AY81" s="87">
        <f>AB81</f>
        <v>16</v>
      </c>
      <c r="AZ81" s="88">
        <v>2</v>
      </c>
      <c r="BA81" s="86"/>
      <c r="BB81" s="87"/>
      <c r="BC81" s="94"/>
      <c r="BD81" s="260">
        <f>SUM(AH81,AK81,AN81,AQ81,AT81,AW81,AZ81,BC81)</f>
        <v>2</v>
      </c>
      <c r="BE81" s="215"/>
      <c r="BF81" s="238"/>
      <c r="BG81" s="239"/>
      <c r="BH81" s="239"/>
      <c r="BI81" s="240"/>
    </row>
    <row r="82" spans="1:67" s="6" customFormat="1" ht="45.75" customHeight="1">
      <c r="A82" s="126" t="s">
        <v>110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8"/>
      <c r="S82" s="128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9"/>
      <c r="AF82" s="127"/>
      <c r="AG82" s="127"/>
      <c r="AH82" s="127"/>
      <c r="AI82" s="127"/>
      <c r="AJ82" s="126" t="s">
        <v>110</v>
      </c>
      <c r="AK82" s="127"/>
      <c r="AL82" s="127"/>
      <c r="AM82" s="127"/>
      <c r="AN82" s="127"/>
      <c r="AO82" s="127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1"/>
      <c r="BG82" s="131"/>
      <c r="BH82" s="131"/>
      <c r="BI82" s="131"/>
      <c r="BK82" s="1"/>
      <c r="BL82" s="1"/>
      <c r="BM82" s="1"/>
      <c r="BN82" s="1"/>
      <c r="BO82" s="1"/>
    </row>
    <row r="83" spans="1:67" s="6" customFormat="1" ht="30" customHeight="1">
      <c r="A83" s="500" t="s">
        <v>413</v>
      </c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130"/>
      <c r="AH83" s="130"/>
      <c r="AI83" s="130"/>
      <c r="AJ83" s="500" t="s">
        <v>416</v>
      </c>
      <c r="AK83" s="500"/>
      <c r="AL83" s="500"/>
      <c r="AM83" s="500"/>
      <c r="AN83" s="500"/>
      <c r="AO83" s="500"/>
      <c r="AP83" s="500"/>
      <c r="AQ83" s="500"/>
      <c r="AR83" s="500"/>
      <c r="AS83" s="500"/>
      <c r="AT83" s="500"/>
      <c r="AU83" s="500"/>
      <c r="AV83" s="500"/>
      <c r="AW83" s="500"/>
      <c r="AX83" s="500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K83" s="1"/>
      <c r="BL83" s="1"/>
      <c r="BM83" s="1"/>
      <c r="BN83" s="1"/>
      <c r="BO83" s="1"/>
    </row>
    <row r="84" spans="1:67" s="6" customFormat="1" ht="35.25" customHeight="1">
      <c r="A84" s="500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130"/>
      <c r="AH84" s="130"/>
      <c r="AI84" s="130"/>
      <c r="AJ84" s="500"/>
      <c r="AK84" s="500"/>
      <c r="AL84" s="500"/>
      <c r="AM84" s="500"/>
      <c r="AN84" s="500"/>
      <c r="AO84" s="500"/>
      <c r="AP84" s="500"/>
      <c r="AQ84" s="500"/>
      <c r="AR84" s="500"/>
      <c r="AS84" s="500"/>
      <c r="AT84" s="500"/>
      <c r="AU84" s="500"/>
      <c r="AV84" s="500"/>
      <c r="AW84" s="500"/>
      <c r="AX84" s="500"/>
      <c r="AY84" s="500"/>
      <c r="AZ84" s="500"/>
      <c r="BA84" s="500"/>
      <c r="BB84" s="500"/>
      <c r="BC84" s="500"/>
      <c r="BD84" s="500"/>
      <c r="BE84" s="500"/>
      <c r="BF84" s="500"/>
      <c r="BG84" s="500"/>
      <c r="BH84" s="500"/>
      <c r="BI84" s="500"/>
      <c r="BK84" s="1"/>
      <c r="BL84" s="1"/>
      <c r="BM84" s="1"/>
      <c r="BN84" s="1"/>
      <c r="BO84" s="1"/>
    </row>
    <row r="85" spans="1:67" s="6" customFormat="1" ht="51" customHeight="1">
      <c r="A85" s="399"/>
      <c r="B85" s="399"/>
      <c r="C85" s="399"/>
      <c r="D85" s="399"/>
      <c r="E85" s="399"/>
      <c r="F85" s="399"/>
      <c r="G85" s="132"/>
      <c r="H85" s="400" t="s">
        <v>330</v>
      </c>
      <c r="I85" s="400"/>
      <c r="J85" s="400"/>
      <c r="K85" s="400"/>
      <c r="L85" s="400"/>
      <c r="M85" s="400"/>
      <c r="N85" s="400"/>
      <c r="O85" s="400"/>
      <c r="P85" s="400"/>
      <c r="Q85" s="132"/>
      <c r="R85" s="132"/>
      <c r="S85" s="132"/>
      <c r="T85" s="132"/>
      <c r="U85" s="132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3"/>
      <c r="AK85" s="133"/>
      <c r="AL85" s="133"/>
      <c r="AM85" s="133"/>
      <c r="AN85" s="133"/>
      <c r="AO85" s="133"/>
      <c r="AP85" s="127"/>
      <c r="AQ85" s="400" t="s">
        <v>329</v>
      </c>
      <c r="AR85" s="400"/>
      <c r="AS85" s="400"/>
      <c r="AT85" s="400"/>
      <c r="AU85" s="400"/>
      <c r="AV85" s="400"/>
      <c r="AW85" s="132"/>
      <c r="AX85" s="132"/>
      <c r="AY85" s="132"/>
      <c r="AZ85" s="132"/>
      <c r="BA85" s="132"/>
      <c r="BB85" s="132"/>
      <c r="BC85" s="132"/>
      <c r="BD85" s="130"/>
      <c r="BE85" s="130"/>
      <c r="BF85" s="131"/>
      <c r="BG85" s="131"/>
      <c r="BH85" s="131"/>
      <c r="BI85" s="131"/>
      <c r="BK85" s="1"/>
      <c r="BL85" s="1"/>
      <c r="BM85" s="1"/>
      <c r="BN85" s="1"/>
      <c r="BO85" s="1"/>
    </row>
    <row r="86" spans="1:67" s="6" customFormat="1" ht="48" customHeight="1">
      <c r="A86" s="401" t="s">
        <v>113</v>
      </c>
      <c r="B86" s="401"/>
      <c r="C86" s="401"/>
      <c r="D86" s="401"/>
      <c r="E86" s="401"/>
      <c r="F86" s="401"/>
      <c r="G86" s="127"/>
      <c r="H86" s="134"/>
      <c r="I86" s="134"/>
      <c r="J86" s="134"/>
      <c r="K86" s="134"/>
      <c r="L86" s="134"/>
      <c r="M86" s="134"/>
      <c r="N86" s="127"/>
      <c r="O86" s="127"/>
      <c r="P86" s="127"/>
      <c r="Q86" s="127"/>
      <c r="R86" s="127"/>
      <c r="S86" s="127"/>
      <c r="T86" s="127"/>
      <c r="U86" s="127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5" t="s">
        <v>111</v>
      </c>
      <c r="AK86" s="127"/>
      <c r="AL86" s="127"/>
      <c r="AM86" s="127"/>
      <c r="AN86" s="127"/>
      <c r="AO86" s="127"/>
      <c r="AP86" s="127"/>
      <c r="AQ86" s="136"/>
      <c r="AR86" s="136"/>
      <c r="AS86" s="136"/>
      <c r="AT86" s="136"/>
      <c r="AU86" s="136"/>
      <c r="AV86" s="136"/>
      <c r="AW86" s="127"/>
      <c r="AX86" s="127"/>
      <c r="AY86" s="127"/>
      <c r="AZ86" s="127"/>
      <c r="BA86" s="127"/>
      <c r="BB86" s="127"/>
      <c r="BC86" s="127"/>
      <c r="BD86" s="130"/>
      <c r="BE86" s="130"/>
      <c r="BF86" s="131"/>
      <c r="BG86" s="131"/>
      <c r="BH86" s="131"/>
      <c r="BI86" s="131"/>
      <c r="BK86" s="1"/>
      <c r="BL86" s="1"/>
      <c r="BM86" s="1"/>
      <c r="BN86" s="1"/>
      <c r="BO86" s="1"/>
    </row>
    <row r="87" spans="1:67" s="6" customFormat="1" ht="30" customHeight="1">
      <c r="A87" s="401" t="s">
        <v>112</v>
      </c>
      <c r="B87" s="401"/>
      <c r="C87" s="401"/>
      <c r="D87" s="401"/>
      <c r="E87" s="401"/>
      <c r="F87" s="401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401" t="s">
        <v>112</v>
      </c>
      <c r="AK87" s="401"/>
      <c r="AL87" s="401"/>
      <c r="AM87" s="401"/>
      <c r="AN87" s="401"/>
      <c r="AO87" s="401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30"/>
      <c r="BE87" s="130"/>
      <c r="BF87" s="131"/>
      <c r="BG87" s="131"/>
      <c r="BH87" s="131"/>
      <c r="BI87" s="131"/>
      <c r="BK87" s="1"/>
      <c r="BL87" s="1"/>
      <c r="BM87" s="1"/>
      <c r="BN87" s="1"/>
      <c r="BO87" s="1"/>
    </row>
    <row r="88" spans="1:61" s="6" customFormat="1" ht="43.5" customHeight="1" thickBot="1">
      <c r="A88" s="501" t="s">
        <v>415</v>
      </c>
      <c r="B88" s="501"/>
      <c r="C88" s="501"/>
      <c r="D88" s="501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1"/>
      <c r="P88" s="501"/>
      <c r="Q88" s="501"/>
      <c r="R88" s="501"/>
      <c r="S88" s="501"/>
      <c r="T88" s="501"/>
      <c r="U88" s="501"/>
      <c r="V88" s="501"/>
      <c r="W88" s="501"/>
      <c r="X88" s="501"/>
      <c r="Y88" s="501"/>
      <c r="Z88" s="501"/>
      <c r="AA88" s="501"/>
      <c r="AB88" s="501"/>
      <c r="AC88" s="501"/>
      <c r="AD88" s="501"/>
      <c r="AE88" s="501"/>
      <c r="AF88" s="501"/>
      <c r="AG88" s="501"/>
      <c r="AH88" s="501"/>
      <c r="AI88" s="501"/>
      <c r="AJ88" s="501"/>
      <c r="AK88" s="501"/>
      <c r="AL88" s="501"/>
      <c r="AM88" s="501"/>
      <c r="AN88" s="501"/>
      <c r="AO88" s="501"/>
      <c r="AP88" s="501"/>
      <c r="AQ88" s="501"/>
      <c r="AR88" s="501"/>
      <c r="AS88" s="501"/>
      <c r="AT88" s="501"/>
      <c r="AU88" s="501"/>
      <c r="AV88" s="501"/>
      <c r="AW88" s="501"/>
      <c r="AX88" s="501"/>
      <c r="AY88" s="501"/>
      <c r="AZ88" s="501"/>
      <c r="BA88" s="501"/>
      <c r="BB88" s="501"/>
      <c r="BC88" s="501"/>
      <c r="BD88" s="501"/>
      <c r="BE88" s="501"/>
      <c r="BF88" s="501"/>
      <c r="BG88" s="501"/>
      <c r="BH88" s="501"/>
      <c r="BI88" s="501"/>
    </row>
    <row r="89" spans="1:63" s="54" customFormat="1" ht="57" customHeight="1" thickBot="1">
      <c r="A89" s="137" t="s">
        <v>138</v>
      </c>
      <c r="B89" s="392" t="s">
        <v>410</v>
      </c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4"/>
      <c r="P89" s="395"/>
      <c r="Q89" s="396"/>
      <c r="R89" s="395"/>
      <c r="S89" s="391"/>
      <c r="T89" s="397">
        <f>T91+T92+T94+T95+T96+T98+T99+T100+T101+T103+T104+T105+T106+T108+T109+T110</f>
        <v>2458.2532</v>
      </c>
      <c r="U89" s="398"/>
      <c r="V89" s="390">
        <f>V91+V92+V94+V95+V96+V98+V99+V100+V101+V103+V104+V105+V106+V108+V109+V110</f>
        <v>1213.8000000000002</v>
      </c>
      <c r="W89" s="391"/>
      <c r="X89" s="397">
        <f>X91+X92+X94+X95+X96+X98+X99+X100+X101+X103+X104+X105+X106+X108+X109+X110</f>
        <v>707.99</v>
      </c>
      <c r="Y89" s="398"/>
      <c r="Z89" s="390">
        <f>Z91+Z92+Z94+Z95+Z96+Z98+Z99+Z100+Z101+Z103+Z104+Z105+Z106+Z108+Z109+Z110</f>
        <v>307.83</v>
      </c>
      <c r="AA89" s="396"/>
      <c r="AB89" s="390">
        <f>AB91+AB92+AB94+AB95+AB96+AB98+AB99+AB100+AB101+AB103+AB104+AB105+AB106+AB108+AB109+AB110</f>
        <v>166</v>
      </c>
      <c r="AC89" s="398"/>
      <c r="AD89" s="390">
        <f>AD91+AD92+AD94+AD95+AD96+AD98+AD99+AD100+AD101+AD103+AD104+AD105+AD106+AD108+AD109+AD110</f>
        <v>32</v>
      </c>
      <c r="AE89" s="391"/>
      <c r="AF89" s="138"/>
      <c r="AG89" s="139"/>
      <c r="AH89" s="140"/>
      <c r="AI89" s="138"/>
      <c r="AJ89" s="139"/>
      <c r="AK89" s="141"/>
      <c r="AL89" s="142">
        <f aca="true" t="shared" si="4" ref="AL89:BC89">SUM(AL90:AL118)</f>
        <v>244.12</v>
      </c>
      <c r="AM89" s="142">
        <f t="shared" si="4"/>
        <v>117.97999999999999</v>
      </c>
      <c r="AN89" s="142">
        <f t="shared" si="4"/>
        <v>7.006246246246246</v>
      </c>
      <c r="AO89" s="142">
        <f t="shared" si="4"/>
        <v>264</v>
      </c>
      <c r="AP89" s="142">
        <f t="shared" si="4"/>
        <v>128</v>
      </c>
      <c r="AQ89" s="142">
        <f t="shared" si="4"/>
        <v>7.004694835680751</v>
      </c>
      <c r="AR89" s="142">
        <f t="shared" si="4"/>
        <v>452.17719999999997</v>
      </c>
      <c r="AS89" s="142">
        <f t="shared" si="4"/>
        <v>205.82</v>
      </c>
      <c r="AT89" s="142">
        <f t="shared" si="4"/>
        <v>12.999366666666667</v>
      </c>
      <c r="AU89" s="142">
        <f t="shared" si="4"/>
        <v>588</v>
      </c>
      <c r="AV89" s="142">
        <f t="shared" si="4"/>
        <v>304</v>
      </c>
      <c r="AW89" s="142">
        <f t="shared" si="4"/>
        <v>14.000579098674278</v>
      </c>
      <c r="AX89" s="142">
        <f t="shared" si="4"/>
        <v>533.956</v>
      </c>
      <c r="AY89" s="142">
        <f t="shared" si="4"/>
        <v>278</v>
      </c>
      <c r="AZ89" s="142">
        <f t="shared" si="4"/>
        <v>14.998358974358977</v>
      </c>
      <c r="BA89" s="142">
        <f t="shared" si="4"/>
        <v>376</v>
      </c>
      <c r="BB89" s="142">
        <f t="shared" si="4"/>
        <v>180</v>
      </c>
      <c r="BC89" s="142">
        <f t="shared" si="4"/>
        <v>10.001600719662395</v>
      </c>
      <c r="BD89" s="397">
        <f>BD91+BD92+BD94+BD95+BD96+BD98+BD99+BD100+BD101+BD103+BD104+BD105+BD106+BD108+BD109+BD110</f>
        <v>66.01084654128931</v>
      </c>
      <c r="BE89" s="391"/>
      <c r="BF89" s="541">
        <f>BD89*100/(BD33+BD89)</f>
        <v>31.731934293982327</v>
      </c>
      <c r="BG89" s="542"/>
      <c r="BH89" s="543" t="s">
        <v>226</v>
      </c>
      <c r="BI89" s="544"/>
      <c r="BJ89" s="68"/>
      <c r="BK89" s="69"/>
    </row>
    <row r="90" spans="1:61" ht="33" customHeight="1">
      <c r="A90" s="107"/>
      <c r="B90" s="557" t="s">
        <v>326</v>
      </c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9"/>
      <c r="P90" s="214"/>
      <c r="Q90" s="205"/>
      <c r="R90" s="214"/>
      <c r="S90" s="204"/>
      <c r="T90" s="216"/>
      <c r="U90" s="213"/>
      <c r="V90" s="214"/>
      <c r="W90" s="215"/>
      <c r="X90" s="367"/>
      <c r="Y90" s="368"/>
      <c r="Z90" s="368"/>
      <c r="AA90" s="368"/>
      <c r="AB90" s="368"/>
      <c r="AC90" s="368"/>
      <c r="AD90" s="368"/>
      <c r="AE90" s="369"/>
      <c r="AF90" s="86"/>
      <c r="AG90" s="87"/>
      <c r="AH90" s="94"/>
      <c r="AI90" s="143"/>
      <c r="AJ90" s="144"/>
      <c r="AK90" s="145"/>
      <c r="AL90" s="143"/>
      <c r="AM90" s="144"/>
      <c r="AN90" s="145"/>
      <c r="AO90" s="143"/>
      <c r="AP90" s="144"/>
      <c r="AQ90" s="145"/>
      <c r="AR90" s="143"/>
      <c r="AS90" s="144"/>
      <c r="AT90" s="145"/>
      <c r="AU90" s="143"/>
      <c r="AV90" s="144"/>
      <c r="AW90" s="145"/>
      <c r="AX90" s="143"/>
      <c r="AY90" s="144"/>
      <c r="AZ90" s="145"/>
      <c r="BA90" s="143"/>
      <c r="BB90" s="144"/>
      <c r="BC90" s="145"/>
      <c r="BD90" s="216"/>
      <c r="BE90" s="217"/>
      <c r="BF90" s="402"/>
      <c r="BG90" s="403"/>
      <c r="BH90" s="403"/>
      <c r="BI90" s="404"/>
    </row>
    <row r="91" spans="1:61" ht="30" customHeight="1">
      <c r="A91" s="112" t="s">
        <v>98</v>
      </c>
      <c r="B91" s="180" t="s">
        <v>373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2"/>
      <c r="P91" s="214"/>
      <c r="Q91" s="205"/>
      <c r="R91" s="214">
        <v>3</v>
      </c>
      <c r="S91" s="215"/>
      <c r="T91" s="185">
        <f>SUM(AF91,AI91,AL91,AO91,AR91,AU91,AX91,BA91)</f>
        <v>72.08</v>
      </c>
      <c r="U91" s="186"/>
      <c r="V91" s="222">
        <f>SUM(AG91,AJ91,AM91,AP91,AS91,AV91,AY91,BB91)</f>
        <v>34</v>
      </c>
      <c r="W91" s="223"/>
      <c r="X91" s="260">
        <v>18</v>
      </c>
      <c r="Y91" s="205"/>
      <c r="Z91" s="214"/>
      <c r="AA91" s="205"/>
      <c r="AB91" s="214"/>
      <c r="AC91" s="205"/>
      <c r="AD91" s="214">
        <v>16</v>
      </c>
      <c r="AE91" s="215"/>
      <c r="AF91" s="86"/>
      <c r="AG91" s="87"/>
      <c r="AH91" s="94"/>
      <c r="AI91" s="86"/>
      <c r="AJ91" s="87"/>
      <c r="AK91" s="94"/>
      <c r="AL91" s="95">
        <f>AM91*2.12</f>
        <v>72.08</v>
      </c>
      <c r="AM91" s="87">
        <f>X91+Z91+AB91+AD91</f>
        <v>34</v>
      </c>
      <c r="AN91" s="88">
        <f>AL91/36</f>
        <v>2.002222222222222</v>
      </c>
      <c r="AO91" s="86"/>
      <c r="AP91" s="87"/>
      <c r="AQ91" s="94"/>
      <c r="AR91" s="86"/>
      <c r="AS91" s="87"/>
      <c r="AT91" s="94"/>
      <c r="AU91" s="86"/>
      <c r="AV91" s="87"/>
      <c r="AW91" s="94"/>
      <c r="AX91" s="86"/>
      <c r="AY91" s="87"/>
      <c r="AZ91" s="88"/>
      <c r="BA91" s="86"/>
      <c r="BB91" s="87"/>
      <c r="BC91" s="94"/>
      <c r="BD91" s="216">
        <f>SUM(AH91,AK91,AN91,AQ91,AT91,AW91,AZ91,BC91)</f>
        <v>2.002222222222222</v>
      </c>
      <c r="BE91" s="217"/>
      <c r="BF91" s="244" t="s">
        <v>380</v>
      </c>
      <c r="BG91" s="245"/>
      <c r="BH91" s="245"/>
      <c r="BI91" s="246"/>
    </row>
    <row r="92" spans="1:61" ht="56.25" customHeight="1">
      <c r="A92" s="112" t="s">
        <v>108</v>
      </c>
      <c r="B92" s="180" t="s">
        <v>374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2"/>
      <c r="P92" s="214"/>
      <c r="Q92" s="205"/>
      <c r="R92" s="214">
        <v>3</v>
      </c>
      <c r="S92" s="204"/>
      <c r="T92" s="185">
        <f>SUM(AF92,AI92,AL92,AO92,AR92,AU92,AX92,BA92)</f>
        <v>72.08</v>
      </c>
      <c r="U92" s="186"/>
      <c r="V92" s="222">
        <f>SUM(AG92,AJ92,AM92,AP92,AS92,AV92,AY92,BB92)</f>
        <v>34</v>
      </c>
      <c r="W92" s="223"/>
      <c r="X92" s="204">
        <v>18</v>
      </c>
      <c r="Y92" s="205"/>
      <c r="Z92" s="214"/>
      <c r="AA92" s="205"/>
      <c r="AB92" s="214"/>
      <c r="AC92" s="205"/>
      <c r="AD92" s="214">
        <v>16</v>
      </c>
      <c r="AE92" s="204"/>
      <c r="AF92" s="86"/>
      <c r="AG92" s="87"/>
      <c r="AH92" s="94"/>
      <c r="AI92" s="86"/>
      <c r="AJ92" s="87"/>
      <c r="AK92" s="94"/>
      <c r="AL92" s="95">
        <f>AM92*2.12</f>
        <v>72.08</v>
      </c>
      <c r="AM92" s="87">
        <f>X92+AD92</f>
        <v>34</v>
      </c>
      <c r="AN92" s="94">
        <f>AL92/36</f>
        <v>2.002222222222222</v>
      </c>
      <c r="AO92" s="86"/>
      <c r="AP92" s="87"/>
      <c r="AQ92" s="88"/>
      <c r="AR92" s="86"/>
      <c r="AS92" s="87"/>
      <c r="AT92" s="94"/>
      <c r="AU92" s="86"/>
      <c r="AV92" s="87"/>
      <c r="AW92" s="94"/>
      <c r="AX92" s="86"/>
      <c r="AY92" s="87"/>
      <c r="AZ92" s="94"/>
      <c r="BA92" s="86"/>
      <c r="BB92" s="87"/>
      <c r="BC92" s="88"/>
      <c r="BD92" s="216">
        <f>SUM(AH92,AK92,AN92,AQ92,AT92,AW92,AZ92,BC92)</f>
        <v>2.002222222222222</v>
      </c>
      <c r="BE92" s="217"/>
      <c r="BF92" s="238" t="s">
        <v>381</v>
      </c>
      <c r="BG92" s="239"/>
      <c r="BH92" s="239"/>
      <c r="BI92" s="240"/>
    </row>
    <row r="93" spans="1:61" s="6" customFormat="1" ht="28.5" customHeight="1">
      <c r="A93" s="111"/>
      <c r="B93" s="250" t="s">
        <v>198</v>
      </c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2"/>
      <c r="P93" s="214"/>
      <c r="Q93" s="205"/>
      <c r="R93" s="214"/>
      <c r="S93" s="215"/>
      <c r="T93" s="261"/>
      <c r="U93" s="221"/>
      <c r="V93" s="281"/>
      <c r="W93" s="221"/>
      <c r="X93" s="261"/>
      <c r="Y93" s="221"/>
      <c r="Z93" s="281"/>
      <c r="AA93" s="221"/>
      <c r="AB93" s="281"/>
      <c r="AC93" s="221"/>
      <c r="AD93" s="214"/>
      <c r="AE93" s="215"/>
      <c r="AF93" s="86"/>
      <c r="AG93" s="87"/>
      <c r="AH93" s="94"/>
      <c r="AI93" s="86"/>
      <c r="AJ93" s="87"/>
      <c r="AK93" s="102"/>
      <c r="AL93" s="86"/>
      <c r="AM93" s="87"/>
      <c r="AN93" s="102"/>
      <c r="AO93" s="117"/>
      <c r="AP93" s="118"/>
      <c r="AQ93" s="119"/>
      <c r="AR93" s="116"/>
      <c r="AS93" s="87"/>
      <c r="AT93" s="94"/>
      <c r="AU93" s="86"/>
      <c r="AV93" s="87"/>
      <c r="AW93" s="94"/>
      <c r="AX93" s="86"/>
      <c r="AY93" s="87"/>
      <c r="AZ93" s="94"/>
      <c r="BA93" s="86"/>
      <c r="BB93" s="87"/>
      <c r="BC93" s="94"/>
      <c r="BD93" s="216"/>
      <c r="BE93" s="215"/>
      <c r="BF93" s="232"/>
      <c r="BG93" s="233"/>
      <c r="BH93" s="233"/>
      <c r="BI93" s="234"/>
    </row>
    <row r="94" spans="1:61" s="6" customFormat="1" ht="31.5" customHeight="1">
      <c r="A94" s="111" t="s">
        <v>177</v>
      </c>
      <c r="B94" s="218" t="s">
        <v>155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20"/>
      <c r="P94" s="214"/>
      <c r="Q94" s="205"/>
      <c r="R94" s="214">
        <v>8</v>
      </c>
      <c r="S94" s="204"/>
      <c r="T94" s="261">
        <f>SUM(AF94,AI94,AL94,AO94,AR94,AU94,AX94,BA94)</f>
        <v>100</v>
      </c>
      <c r="U94" s="221"/>
      <c r="V94" s="222">
        <f>SUM(AG94,AJ94,AM94,AP94,AS94,AV94,AY94,BB94)</f>
        <v>50</v>
      </c>
      <c r="W94" s="223"/>
      <c r="X94" s="204">
        <v>34</v>
      </c>
      <c r="Y94" s="205"/>
      <c r="Z94" s="214"/>
      <c r="AA94" s="205"/>
      <c r="AB94" s="214">
        <v>16</v>
      </c>
      <c r="AC94" s="205"/>
      <c r="AD94" s="214"/>
      <c r="AE94" s="204"/>
      <c r="AF94" s="86"/>
      <c r="AG94" s="87"/>
      <c r="AH94" s="94"/>
      <c r="AI94" s="86"/>
      <c r="AJ94" s="87"/>
      <c r="AK94" s="94"/>
      <c r="AL94" s="86"/>
      <c r="AM94" s="87"/>
      <c r="AN94" s="102"/>
      <c r="AO94" s="117"/>
      <c r="AP94" s="118"/>
      <c r="AQ94" s="119"/>
      <c r="AR94" s="116"/>
      <c r="AS94" s="87"/>
      <c r="AT94" s="94"/>
      <c r="AU94" s="86"/>
      <c r="AV94" s="87"/>
      <c r="AW94" s="94"/>
      <c r="AX94" s="95"/>
      <c r="AY94" s="87"/>
      <c r="AZ94" s="88"/>
      <c r="BA94" s="86">
        <f>BB94*2</f>
        <v>100</v>
      </c>
      <c r="BB94" s="87">
        <f>X94+AB94</f>
        <v>50</v>
      </c>
      <c r="BC94" s="88">
        <f>BA94/33.3</f>
        <v>3.0030030030030033</v>
      </c>
      <c r="BD94" s="216">
        <f>SUM(AH94,AK94,AN94,AQ94,AT94,AW94,AZ94,BC94)</f>
        <v>3.0030030030030033</v>
      </c>
      <c r="BE94" s="217"/>
      <c r="BF94" s="244" t="s">
        <v>403</v>
      </c>
      <c r="BG94" s="245"/>
      <c r="BH94" s="245"/>
      <c r="BI94" s="246"/>
    </row>
    <row r="95" spans="1:61" s="6" customFormat="1" ht="56.25" customHeight="1">
      <c r="A95" s="183" t="s">
        <v>121</v>
      </c>
      <c r="B95" s="180" t="s">
        <v>156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2"/>
      <c r="P95" s="214">
        <v>8</v>
      </c>
      <c r="Q95" s="205"/>
      <c r="R95" s="214"/>
      <c r="S95" s="204"/>
      <c r="T95" s="261">
        <f>SUM(AF95,AI95,AL95,AO95,AR95,AU95,AX95,BA95)</f>
        <v>100</v>
      </c>
      <c r="U95" s="221"/>
      <c r="V95" s="222">
        <f>SUM(AG95,AJ95,AM95,AP95,AS95,AV95,AY95,BB95)</f>
        <v>50</v>
      </c>
      <c r="W95" s="223"/>
      <c r="X95" s="204">
        <v>34</v>
      </c>
      <c r="Y95" s="205"/>
      <c r="Z95" s="214"/>
      <c r="AA95" s="205"/>
      <c r="AB95" s="214">
        <v>16</v>
      </c>
      <c r="AC95" s="205"/>
      <c r="AD95" s="214"/>
      <c r="AE95" s="204"/>
      <c r="AF95" s="86"/>
      <c r="AG95" s="87"/>
      <c r="AH95" s="94"/>
      <c r="AI95" s="86"/>
      <c r="AJ95" s="87"/>
      <c r="AK95" s="94"/>
      <c r="AL95" s="86"/>
      <c r="AM95" s="87"/>
      <c r="AN95" s="102"/>
      <c r="AO95" s="117"/>
      <c r="AP95" s="118"/>
      <c r="AQ95" s="119"/>
      <c r="AR95" s="116"/>
      <c r="AS95" s="87"/>
      <c r="AT95" s="94"/>
      <c r="AU95" s="86"/>
      <c r="AV95" s="87"/>
      <c r="AW95" s="94"/>
      <c r="AX95" s="86"/>
      <c r="AY95" s="87"/>
      <c r="AZ95" s="94"/>
      <c r="BA95" s="86">
        <f>BB95*2</f>
        <v>100</v>
      </c>
      <c r="BB95" s="87">
        <f>X95+AB95</f>
        <v>50</v>
      </c>
      <c r="BC95" s="88">
        <f>BA95/33.3</f>
        <v>3.0030030030030033</v>
      </c>
      <c r="BD95" s="216">
        <f>SUM(AH95,AK95,AN95,AQ95,AT95,AW95,AZ95,BC95)</f>
        <v>3.0030030030030033</v>
      </c>
      <c r="BE95" s="217"/>
      <c r="BF95" s="235" t="s">
        <v>404</v>
      </c>
      <c r="BG95" s="236"/>
      <c r="BH95" s="236"/>
      <c r="BI95" s="237"/>
    </row>
    <row r="96" spans="1:61" s="6" customFormat="1" ht="77.25" customHeight="1">
      <c r="A96" s="184"/>
      <c r="B96" s="180" t="s">
        <v>424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2"/>
      <c r="P96" s="214"/>
      <c r="Q96" s="205"/>
      <c r="R96" s="214"/>
      <c r="S96" s="204"/>
      <c r="T96" s="261">
        <f>SUM(AF96,AI96,AL96,AO96,AR96,AU96,AX96,BA96)</f>
        <v>40</v>
      </c>
      <c r="U96" s="221"/>
      <c r="V96" s="222"/>
      <c r="W96" s="223"/>
      <c r="X96" s="204"/>
      <c r="Y96" s="205"/>
      <c r="Z96" s="214"/>
      <c r="AA96" s="205"/>
      <c r="AB96" s="214"/>
      <c r="AC96" s="205"/>
      <c r="AD96" s="214"/>
      <c r="AE96" s="204"/>
      <c r="AF96" s="86"/>
      <c r="AG96" s="87"/>
      <c r="AH96" s="94"/>
      <c r="AI96" s="86"/>
      <c r="AJ96" s="87"/>
      <c r="AK96" s="94"/>
      <c r="AL96" s="86"/>
      <c r="AM96" s="87"/>
      <c r="AN96" s="102"/>
      <c r="AO96" s="117"/>
      <c r="AP96" s="118"/>
      <c r="AQ96" s="119"/>
      <c r="AR96" s="116"/>
      <c r="AS96" s="87"/>
      <c r="AT96" s="94"/>
      <c r="AU96" s="86"/>
      <c r="AV96" s="87"/>
      <c r="AW96" s="94"/>
      <c r="AX96" s="86"/>
      <c r="AY96" s="87"/>
      <c r="AZ96" s="94"/>
      <c r="BA96" s="86">
        <v>40</v>
      </c>
      <c r="BB96" s="87"/>
      <c r="BC96" s="94">
        <v>1</v>
      </c>
      <c r="BD96" s="260">
        <f>SUM(AH96,AK96,AN96,AQ96,AT96,AW96,AZ96,BC96)</f>
        <v>1</v>
      </c>
      <c r="BE96" s="215"/>
      <c r="BF96" s="238"/>
      <c r="BG96" s="239"/>
      <c r="BH96" s="239"/>
      <c r="BI96" s="240"/>
    </row>
    <row r="97" spans="1:61" s="6" customFormat="1" ht="30" customHeight="1">
      <c r="A97" s="111"/>
      <c r="B97" s="250" t="s">
        <v>303</v>
      </c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2"/>
      <c r="P97" s="214"/>
      <c r="Q97" s="205"/>
      <c r="R97" s="214"/>
      <c r="S97" s="215"/>
      <c r="T97" s="185"/>
      <c r="U97" s="221"/>
      <c r="V97" s="243"/>
      <c r="W97" s="221"/>
      <c r="X97" s="185"/>
      <c r="Y97" s="221"/>
      <c r="Z97" s="243"/>
      <c r="AA97" s="221"/>
      <c r="AB97" s="243"/>
      <c r="AC97" s="221"/>
      <c r="AD97" s="214"/>
      <c r="AE97" s="215"/>
      <c r="AF97" s="86"/>
      <c r="AG97" s="87"/>
      <c r="AH97" s="94"/>
      <c r="AI97" s="86"/>
      <c r="AJ97" s="87"/>
      <c r="AK97" s="94"/>
      <c r="AL97" s="86"/>
      <c r="AM97" s="87"/>
      <c r="AN97" s="102"/>
      <c r="AO97" s="86"/>
      <c r="AP97" s="87"/>
      <c r="AQ97" s="88"/>
      <c r="AR97" s="116"/>
      <c r="AS97" s="87"/>
      <c r="AT97" s="94"/>
      <c r="AU97" s="86"/>
      <c r="AV97" s="87"/>
      <c r="AW97" s="94"/>
      <c r="AX97" s="86"/>
      <c r="AY97" s="87"/>
      <c r="AZ97" s="94"/>
      <c r="BA97" s="86"/>
      <c r="BB97" s="87"/>
      <c r="BC97" s="94"/>
      <c r="BD97" s="216"/>
      <c r="BE97" s="217"/>
      <c r="BF97" s="232"/>
      <c r="BG97" s="233"/>
      <c r="BH97" s="233"/>
      <c r="BI97" s="234"/>
    </row>
    <row r="98" spans="1:67" s="6" customFormat="1" ht="30.75" customHeight="1">
      <c r="A98" s="183" t="s">
        <v>122</v>
      </c>
      <c r="B98" s="384" t="s">
        <v>241</v>
      </c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6"/>
      <c r="P98" s="214">
        <v>4</v>
      </c>
      <c r="Q98" s="205"/>
      <c r="R98" s="214">
        <v>3</v>
      </c>
      <c r="S98" s="204"/>
      <c r="T98" s="185">
        <f>AF98+AI98+AL98+AO98+AR98+AU98+AX98+BA98</f>
        <v>227.95999999999998</v>
      </c>
      <c r="U98" s="221"/>
      <c r="V98" s="187">
        <f>AG98+AJ98+AM98+AP98+AS98+AV98+AY98+BB98</f>
        <v>113.97999999999999</v>
      </c>
      <c r="W98" s="188"/>
      <c r="X98" s="375">
        <f>H19*1+AC19*2.065</f>
        <v>50.04</v>
      </c>
      <c r="Y98" s="213"/>
      <c r="Z98" s="212">
        <f>H19*1.88+AC19*1</f>
        <v>47.959999999999994</v>
      </c>
      <c r="AA98" s="213"/>
      <c r="AB98" s="214">
        <v>16</v>
      </c>
      <c r="AC98" s="205"/>
      <c r="AD98" s="214"/>
      <c r="AE98" s="204"/>
      <c r="AF98" s="86"/>
      <c r="AG98" s="87"/>
      <c r="AH98" s="94"/>
      <c r="AI98" s="86"/>
      <c r="AJ98" s="87"/>
      <c r="AK98" s="94"/>
      <c r="AL98" s="95">
        <f>AM98*2</f>
        <v>99.96</v>
      </c>
      <c r="AM98" s="113">
        <f>H19*(2+0.94)</f>
        <v>49.98</v>
      </c>
      <c r="AN98" s="88">
        <f>AL98/33.3</f>
        <v>3.001801801801802</v>
      </c>
      <c r="AO98" s="95">
        <f>AP98*2</f>
        <v>128</v>
      </c>
      <c r="AP98" s="113">
        <f>AC19*(2+2)</f>
        <v>64</v>
      </c>
      <c r="AQ98" s="88">
        <f>AO98/42.6</f>
        <v>3.004694835680751</v>
      </c>
      <c r="AR98" s="86"/>
      <c r="AS98" s="87"/>
      <c r="AT98" s="94"/>
      <c r="AU98" s="86"/>
      <c r="AV98" s="87"/>
      <c r="AW98" s="94"/>
      <c r="AX98" s="86"/>
      <c r="AY98" s="87"/>
      <c r="AZ98" s="94"/>
      <c r="BA98" s="86"/>
      <c r="BB98" s="87"/>
      <c r="BC98" s="94"/>
      <c r="BD98" s="241">
        <f>AH98+AK98+AN98+AQ98+AT98+AW98+AZ98+BC98</f>
        <v>6.006496637482552</v>
      </c>
      <c r="BE98" s="242"/>
      <c r="BF98" s="235" t="s">
        <v>260</v>
      </c>
      <c r="BG98" s="236"/>
      <c r="BH98" s="236"/>
      <c r="BI98" s="237"/>
      <c r="BK98" s="1"/>
      <c r="BL98" s="1"/>
      <c r="BM98" s="1"/>
      <c r="BN98" s="1"/>
      <c r="BO98" s="1"/>
    </row>
    <row r="99" spans="1:67" s="6" customFormat="1" ht="56.25" customHeight="1">
      <c r="A99" s="184"/>
      <c r="B99" s="384" t="s">
        <v>425</v>
      </c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6"/>
      <c r="P99" s="214"/>
      <c r="Q99" s="205"/>
      <c r="R99" s="214"/>
      <c r="S99" s="204"/>
      <c r="T99" s="185">
        <f>AF99+AI99+AL99+AO99+AR99+AU99+AX99+BA99</f>
        <v>40</v>
      </c>
      <c r="U99" s="221"/>
      <c r="V99" s="222">
        <f>AG99+AJ99+AM99+AP99+AS99+AV99+AY99+BB99</f>
        <v>16</v>
      </c>
      <c r="W99" s="223"/>
      <c r="X99" s="204"/>
      <c r="Y99" s="205"/>
      <c r="Z99" s="214"/>
      <c r="AA99" s="205"/>
      <c r="AB99" s="214">
        <f>AC19*1</f>
        <v>16</v>
      </c>
      <c r="AC99" s="205"/>
      <c r="AD99" s="214"/>
      <c r="AE99" s="204"/>
      <c r="AF99" s="86"/>
      <c r="AG99" s="87"/>
      <c r="AH99" s="94"/>
      <c r="AI99" s="86"/>
      <c r="AJ99" s="87"/>
      <c r="AK99" s="94"/>
      <c r="AL99" s="86"/>
      <c r="AM99" s="87"/>
      <c r="AN99" s="94"/>
      <c r="AO99" s="95">
        <v>40</v>
      </c>
      <c r="AP99" s="87">
        <f>AB99</f>
        <v>16</v>
      </c>
      <c r="AQ99" s="94">
        <v>1</v>
      </c>
      <c r="AR99" s="86"/>
      <c r="AS99" s="87"/>
      <c r="AT99" s="94"/>
      <c r="AU99" s="86"/>
      <c r="AV99" s="87"/>
      <c r="AW99" s="94"/>
      <c r="AX99" s="86"/>
      <c r="AY99" s="87"/>
      <c r="AZ99" s="94"/>
      <c r="BA99" s="86"/>
      <c r="BB99" s="87"/>
      <c r="BC99" s="94"/>
      <c r="BD99" s="241">
        <f>AH99+AK99+AN99+AQ99+AT99+AW99+AZ99+BC99</f>
        <v>1</v>
      </c>
      <c r="BE99" s="257"/>
      <c r="BF99" s="238"/>
      <c r="BG99" s="239"/>
      <c r="BH99" s="239"/>
      <c r="BI99" s="240"/>
      <c r="BK99" s="1"/>
      <c r="BL99" s="1"/>
      <c r="BM99" s="1"/>
      <c r="BN99" s="1"/>
      <c r="BO99" s="1"/>
    </row>
    <row r="100" spans="1:67" s="6" customFormat="1" ht="30.75" customHeight="1">
      <c r="A100" s="183" t="s">
        <v>233</v>
      </c>
      <c r="B100" s="381" t="s">
        <v>240</v>
      </c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3"/>
      <c r="P100" s="214">
        <v>5</v>
      </c>
      <c r="Q100" s="205"/>
      <c r="R100" s="214">
        <v>4</v>
      </c>
      <c r="S100" s="204"/>
      <c r="T100" s="185">
        <f>AF100+AI100+AL100+AO100+AR100+AU100+AX100+BA100</f>
        <v>192</v>
      </c>
      <c r="U100" s="221"/>
      <c r="V100" s="222">
        <f>AG100+AJ100+AM100+AP100+AS100+AV100+AY100+BB100</f>
        <v>96</v>
      </c>
      <c r="W100" s="223"/>
      <c r="X100" s="204">
        <f>AC19*3</f>
        <v>48</v>
      </c>
      <c r="Y100" s="205"/>
      <c r="Z100" s="214">
        <f>AC19*2</f>
        <v>32</v>
      </c>
      <c r="AA100" s="205"/>
      <c r="AB100" s="214">
        <f>AC19*1</f>
        <v>16</v>
      </c>
      <c r="AC100" s="205"/>
      <c r="AD100" s="214"/>
      <c r="AE100" s="204"/>
      <c r="AF100" s="86"/>
      <c r="AG100" s="87"/>
      <c r="AH100" s="94"/>
      <c r="AI100" s="86"/>
      <c r="AJ100" s="87"/>
      <c r="AK100" s="94"/>
      <c r="AL100" s="86"/>
      <c r="AM100" s="87"/>
      <c r="AN100" s="94"/>
      <c r="AO100" s="95">
        <f>AP100*2</f>
        <v>96</v>
      </c>
      <c r="AP100" s="87">
        <f>X100</f>
        <v>48</v>
      </c>
      <c r="AQ100" s="88">
        <f>AO100/32</f>
        <v>3</v>
      </c>
      <c r="AR100" s="86">
        <f>AS100*2</f>
        <v>96</v>
      </c>
      <c r="AS100" s="87">
        <f>Z100+AB100</f>
        <v>48</v>
      </c>
      <c r="AT100" s="88">
        <f>AR100/32</f>
        <v>3</v>
      </c>
      <c r="AU100" s="86"/>
      <c r="AV100" s="87"/>
      <c r="AW100" s="94"/>
      <c r="AX100" s="86"/>
      <c r="AY100" s="87"/>
      <c r="AZ100" s="94"/>
      <c r="BA100" s="86"/>
      <c r="BB100" s="87"/>
      <c r="BC100" s="94"/>
      <c r="BD100" s="241">
        <f>AH100+AK100+AN100+AQ100+AT100+AW100+AZ100+BC100</f>
        <v>6</v>
      </c>
      <c r="BE100" s="242"/>
      <c r="BF100" s="235" t="s">
        <v>261</v>
      </c>
      <c r="BG100" s="236"/>
      <c r="BH100" s="236"/>
      <c r="BI100" s="237"/>
      <c r="BK100" s="1"/>
      <c r="BL100" s="1"/>
      <c r="BM100" s="1"/>
      <c r="BN100" s="1"/>
      <c r="BO100" s="1"/>
    </row>
    <row r="101" spans="1:67" s="6" customFormat="1" ht="57.75" customHeight="1">
      <c r="A101" s="184"/>
      <c r="B101" s="384" t="s">
        <v>426</v>
      </c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6"/>
      <c r="P101" s="214"/>
      <c r="Q101" s="205"/>
      <c r="R101" s="214"/>
      <c r="S101" s="204"/>
      <c r="T101" s="185">
        <f>AF101+AI101+AL101+AO101+AR101+AU101+AX101+BA101</f>
        <v>40</v>
      </c>
      <c r="U101" s="221"/>
      <c r="V101" s="222"/>
      <c r="W101" s="223"/>
      <c r="X101" s="204"/>
      <c r="Y101" s="205"/>
      <c r="Z101" s="214"/>
      <c r="AA101" s="205"/>
      <c r="AB101" s="214"/>
      <c r="AC101" s="205"/>
      <c r="AD101" s="214"/>
      <c r="AE101" s="204"/>
      <c r="AF101" s="86"/>
      <c r="AG101" s="87"/>
      <c r="AH101" s="94"/>
      <c r="AI101" s="86"/>
      <c r="AJ101" s="87"/>
      <c r="AK101" s="94"/>
      <c r="AL101" s="86"/>
      <c r="AM101" s="87"/>
      <c r="AN101" s="94"/>
      <c r="AO101" s="86"/>
      <c r="AP101" s="87"/>
      <c r="AQ101" s="94"/>
      <c r="AR101" s="86">
        <v>40</v>
      </c>
      <c r="AS101" s="87"/>
      <c r="AT101" s="94">
        <v>1</v>
      </c>
      <c r="AU101" s="86"/>
      <c r="AV101" s="87"/>
      <c r="AW101" s="94"/>
      <c r="AX101" s="86"/>
      <c r="AY101" s="87"/>
      <c r="AZ101" s="94"/>
      <c r="BA101" s="86"/>
      <c r="BB101" s="87"/>
      <c r="BC101" s="94"/>
      <c r="BD101" s="241">
        <f>AH101+AK101+AN101+AQ101+AT101+AW101+AZ101+BC101</f>
        <v>1</v>
      </c>
      <c r="BE101" s="257"/>
      <c r="BF101" s="238"/>
      <c r="BG101" s="239"/>
      <c r="BH101" s="239"/>
      <c r="BI101" s="240"/>
      <c r="BK101" s="1"/>
      <c r="BL101" s="1"/>
      <c r="BM101" s="1"/>
      <c r="BN101" s="1"/>
      <c r="BO101" s="1"/>
    </row>
    <row r="102" spans="1:67" s="6" customFormat="1" ht="27.75" customHeight="1">
      <c r="A102" s="112"/>
      <c r="B102" s="250" t="s">
        <v>245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2"/>
      <c r="P102" s="214"/>
      <c r="Q102" s="205"/>
      <c r="R102" s="214"/>
      <c r="S102" s="215"/>
      <c r="T102" s="185"/>
      <c r="U102" s="221"/>
      <c r="V102" s="243"/>
      <c r="W102" s="221"/>
      <c r="X102" s="185"/>
      <c r="Y102" s="221"/>
      <c r="Z102" s="243"/>
      <c r="AA102" s="221"/>
      <c r="AB102" s="243"/>
      <c r="AC102" s="221"/>
      <c r="AD102" s="247"/>
      <c r="AE102" s="248"/>
      <c r="AF102" s="86"/>
      <c r="AG102" s="87"/>
      <c r="AH102" s="94"/>
      <c r="AI102" s="86"/>
      <c r="AJ102" s="87"/>
      <c r="AK102" s="94"/>
      <c r="AL102" s="146"/>
      <c r="AM102" s="147"/>
      <c r="AN102" s="148"/>
      <c r="AO102" s="146"/>
      <c r="AP102" s="147"/>
      <c r="AQ102" s="148"/>
      <c r="AR102" s="146"/>
      <c r="AS102" s="147"/>
      <c r="AT102" s="148"/>
      <c r="AU102" s="86"/>
      <c r="AV102" s="87"/>
      <c r="AW102" s="94"/>
      <c r="AX102" s="86"/>
      <c r="AY102" s="87"/>
      <c r="AZ102" s="94"/>
      <c r="BA102" s="146"/>
      <c r="BB102" s="147"/>
      <c r="BC102" s="148"/>
      <c r="BD102" s="216"/>
      <c r="BE102" s="217"/>
      <c r="BF102" s="232"/>
      <c r="BG102" s="233"/>
      <c r="BH102" s="233"/>
      <c r="BI102" s="234"/>
      <c r="BK102" s="1"/>
      <c r="BL102" s="1"/>
      <c r="BM102" s="1"/>
      <c r="BN102" s="1"/>
      <c r="BO102" s="1"/>
    </row>
    <row r="103" spans="1:61" ht="30" customHeight="1">
      <c r="A103" s="111" t="s">
        <v>124</v>
      </c>
      <c r="B103" s="384" t="s">
        <v>244</v>
      </c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6"/>
      <c r="P103" s="214"/>
      <c r="Q103" s="205"/>
      <c r="R103" s="214">
        <v>5</v>
      </c>
      <c r="S103" s="204"/>
      <c r="T103" s="185">
        <f>AF103+AI103+AL103+AO103+AR103+AU103+AX103+BA103</f>
        <v>112.2</v>
      </c>
      <c r="U103" s="221"/>
      <c r="V103" s="187">
        <f>AG103+AJ103+AM103+AP103+AS103+AV103+AY103+BB103</f>
        <v>56.1</v>
      </c>
      <c r="W103" s="188"/>
      <c r="X103" s="375">
        <f>H18*2.25</f>
        <v>38.25</v>
      </c>
      <c r="Y103" s="213"/>
      <c r="Z103" s="212">
        <f>H18*1.05</f>
        <v>17.85</v>
      </c>
      <c r="AA103" s="213"/>
      <c r="AB103" s="214"/>
      <c r="AC103" s="205"/>
      <c r="AD103" s="214"/>
      <c r="AE103" s="204"/>
      <c r="AF103" s="86"/>
      <c r="AG103" s="87"/>
      <c r="AH103" s="94"/>
      <c r="AI103" s="86"/>
      <c r="AJ103" s="87"/>
      <c r="AK103" s="94"/>
      <c r="AL103" s="86"/>
      <c r="AM103" s="87"/>
      <c r="AN103" s="94"/>
      <c r="AO103" s="86"/>
      <c r="AP103" s="87"/>
      <c r="AQ103" s="94"/>
      <c r="AR103" s="95">
        <f>AS103*2</f>
        <v>112.2</v>
      </c>
      <c r="AS103" s="113">
        <f>X103+Z103+AB103</f>
        <v>56.1</v>
      </c>
      <c r="AT103" s="88">
        <f>AR103/37.4</f>
        <v>3</v>
      </c>
      <c r="AU103" s="95"/>
      <c r="AV103" s="87"/>
      <c r="AW103" s="94"/>
      <c r="AX103" s="95"/>
      <c r="AY103" s="87"/>
      <c r="AZ103" s="94"/>
      <c r="BA103" s="86"/>
      <c r="BB103" s="87"/>
      <c r="BC103" s="94"/>
      <c r="BD103" s="241">
        <f>AH103+AK103+AN103+AQ103+AT103+AW103+AZ103+BC103</f>
        <v>3</v>
      </c>
      <c r="BE103" s="257"/>
      <c r="BF103" s="350" t="s">
        <v>257</v>
      </c>
      <c r="BG103" s="351"/>
      <c r="BH103" s="351"/>
      <c r="BI103" s="352"/>
    </row>
    <row r="104" spans="1:61" ht="29.25" customHeight="1">
      <c r="A104" s="112" t="s">
        <v>125</v>
      </c>
      <c r="B104" s="384" t="s">
        <v>243</v>
      </c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6"/>
      <c r="P104" s="214">
        <v>5</v>
      </c>
      <c r="Q104" s="205"/>
      <c r="R104" s="214"/>
      <c r="S104" s="204"/>
      <c r="T104" s="185">
        <f>AF104+AI104+AL104+AO104+AR104+AU104+AX104+BA104</f>
        <v>107.97719999999998</v>
      </c>
      <c r="U104" s="221"/>
      <c r="V104" s="187">
        <f>AG104+AJ104+AM104+AP104+AS104+AV104+AY104+BB104</f>
        <v>53.72</v>
      </c>
      <c r="W104" s="188"/>
      <c r="X104" s="375">
        <f>H20*2.1</f>
        <v>35.7</v>
      </c>
      <c r="Y104" s="213"/>
      <c r="Z104" s="212">
        <f>H20*1.06</f>
        <v>18.02</v>
      </c>
      <c r="AA104" s="213"/>
      <c r="AB104" s="214"/>
      <c r="AC104" s="205"/>
      <c r="AD104" s="214"/>
      <c r="AE104" s="204"/>
      <c r="AF104" s="86"/>
      <c r="AG104" s="87"/>
      <c r="AH104" s="94"/>
      <c r="AI104" s="86"/>
      <c r="AJ104" s="87"/>
      <c r="AK104" s="94"/>
      <c r="AL104" s="86"/>
      <c r="AM104" s="87"/>
      <c r="AN104" s="94"/>
      <c r="AO104" s="86"/>
      <c r="AP104" s="87"/>
      <c r="AQ104" s="94"/>
      <c r="AR104" s="95">
        <f>AS104*2.01</f>
        <v>107.97719999999998</v>
      </c>
      <c r="AS104" s="113">
        <f>X104+Z104+AB104</f>
        <v>53.72</v>
      </c>
      <c r="AT104" s="88">
        <f>AR104/36</f>
        <v>2.999366666666666</v>
      </c>
      <c r="AU104" s="95"/>
      <c r="AV104" s="113"/>
      <c r="AW104" s="88"/>
      <c r="AX104" s="86"/>
      <c r="AY104" s="87"/>
      <c r="AZ104" s="94"/>
      <c r="BA104" s="86"/>
      <c r="BB104" s="87"/>
      <c r="BC104" s="94"/>
      <c r="BD104" s="241">
        <f>AH104+AK104+AN104+AQ104+AT104+AW104+AZ104+BC104</f>
        <v>2.999366666666666</v>
      </c>
      <c r="BE104" s="257"/>
      <c r="BF104" s="350" t="s">
        <v>256</v>
      </c>
      <c r="BG104" s="351"/>
      <c r="BH104" s="351"/>
      <c r="BI104" s="352"/>
    </row>
    <row r="105" spans="1:67" s="6" customFormat="1" ht="29.25" customHeight="1">
      <c r="A105" s="249" t="s">
        <v>131</v>
      </c>
      <c r="B105" s="384" t="s">
        <v>242</v>
      </c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6"/>
      <c r="P105" s="214">
        <v>7</v>
      </c>
      <c r="Q105" s="205"/>
      <c r="R105" s="214">
        <v>6</v>
      </c>
      <c r="S105" s="204"/>
      <c r="T105" s="185">
        <f>AF105+AI105+AL105+AO105+AR105+AU105+AX105+BA105</f>
        <v>236.03199999999998</v>
      </c>
      <c r="U105" s="221"/>
      <c r="V105" s="222">
        <f>AG105+AJ105+AM105+AP105+AS105+AV105+AY105+BB105</f>
        <v>128</v>
      </c>
      <c r="W105" s="223"/>
      <c r="X105" s="204">
        <f>AC20*3+H21*2</f>
        <v>80</v>
      </c>
      <c r="Y105" s="205"/>
      <c r="Z105" s="214">
        <f>AC20*1+H21*2</f>
        <v>48</v>
      </c>
      <c r="AA105" s="205"/>
      <c r="AB105" s="214"/>
      <c r="AC105" s="205"/>
      <c r="AD105" s="214"/>
      <c r="AE105" s="204"/>
      <c r="AF105" s="86"/>
      <c r="AG105" s="87"/>
      <c r="AH105" s="94"/>
      <c r="AI105" s="86"/>
      <c r="AJ105" s="87"/>
      <c r="AK105" s="94"/>
      <c r="AL105" s="86"/>
      <c r="AM105" s="87"/>
      <c r="AN105" s="94"/>
      <c r="AO105" s="86"/>
      <c r="AP105" s="87"/>
      <c r="AQ105" s="94"/>
      <c r="AR105" s="86"/>
      <c r="AS105" s="87"/>
      <c r="AT105" s="94"/>
      <c r="AU105" s="95">
        <f>AV105*2</f>
        <v>128</v>
      </c>
      <c r="AV105" s="87">
        <f>AC20*(2+2)</f>
        <v>64</v>
      </c>
      <c r="AW105" s="88">
        <f>AU105/42.6</f>
        <v>3.004694835680751</v>
      </c>
      <c r="AX105" s="95">
        <f>AY105*1.688</f>
        <v>108.032</v>
      </c>
      <c r="AY105" s="87">
        <f>H21*(2+2)</f>
        <v>64</v>
      </c>
      <c r="AZ105" s="88">
        <f>AX105/36</f>
        <v>3.000888888888889</v>
      </c>
      <c r="BA105" s="86"/>
      <c r="BB105" s="87"/>
      <c r="BC105" s="94"/>
      <c r="BD105" s="241">
        <f>AH105+AK105+AN105+AQ105+AT105+AW105+AZ105+BC105</f>
        <v>6.0055837245696395</v>
      </c>
      <c r="BE105" s="257"/>
      <c r="BF105" s="235" t="s">
        <v>255</v>
      </c>
      <c r="BG105" s="236"/>
      <c r="BH105" s="236"/>
      <c r="BI105" s="237"/>
      <c r="BK105" s="1"/>
      <c r="BL105" s="1"/>
      <c r="BM105" s="1"/>
      <c r="BN105" s="1"/>
      <c r="BO105" s="1"/>
    </row>
    <row r="106" spans="1:67" s="6" customFormat="1" ht="56.25" customHeight="1">
      <c r="A106" s="184"/>
      <c r="B106" s="387" t="s">
        <v>427</v>
      </c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9"/>
      <c r="P106" s="214"/>
      <c r="Q106" s="205"/>
      <c r="R106" s="214"/>
      <c r="S106" s="215"/>
      <c r="T106" s="185">
        <f>AF106+AI106+AL106+AO106+AR106+AU106+AX106+BA106</f>
        <v>40</v>
      </c>
      <c r="U106" s="221"/>
      <c r="V106" s="222"/>
      <c r="W106" s="223"/>
      <c r="X106" s="260"/>
      <c r="Y106" s="205"/>
      <c r="Z106" s="214"/>
      <c r="AA106" s="205"/>
      <c r="AB106" s="214"/>
      <c r="AC106" s="205"/>
      <c r="AD106" s="214"/>
      <c r="AE106" s="215"/>
      <c r="AF106" s="86"/>
      <c r="AG106" s="87"/>
      <c r="AH106" s="94"/>
      <c r="AI106" s="86"/>
      <c r="AJ106" s="87"/>
      <c r="AK106" s="94"/>
      <c r="AL106" s="86"/>
      <c r="AM106" s="87"/>
      <c r="AN106" s="94"/>
      <c r="AO106" s="86"/>
      <c r="AP106" s="87"/>
      <c r="AQ106" s="94"/>
      <c r="AR106" s="86"/>
      <c r="AS106" s="87"/>
      <c r="AT106" s="94"/>
      <c r="AU106" s="86"/>
      <c r="AV106" s="87"/>
      <c r="AW106" s="94"/>
      <c r="AX106" s="86">
        <v>40</v>
      </c>
      <c r="AY106" s="87"/>
      <c r="AZ106" s="94">
        <v>1</v>
      </c>
      <c r="BA106" s="146"/>
      <c r="BB106" s="147"/>
      <c r="BC106" s="148"/>
      <c r="BD106" s="241">
        <f>AH106+AK106+AN106+AQ106+AT106+AW106+AZ106+BC106</f>
        <v>1</v>
      </c>
      <c r="BE106" s="257"/>
      <c r="BF106" s="238"/>
      <c r="BG106" s="239"/>
      <c r="BH106" s="239"/>
      <c r="BI106" s="240"/>
      <c r="BK106" s="1"/>
      <c r="BL106" s="1"/>
      <c r="BM106" s="1"/>
      <c r="BN106" s="1"/>
      <c r="BO106" s="1"/>
    </row>
    <row r="107" spans="1:67" s="6" customFormat="1" ht="31.5" customHeight="1">
      <c r="A107" s="112"/>
      <c r="B107" s="250" t="s">
        <v>234</v>
      </c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2"/>
      <c r="P107" s="214"/>
      <c r="Q107" s="205"/>
      <c r="R107" s="214"/>
      <c r="S107" s="215"/>
      <c r="T107" s="185"/>
      <c r="U107" s="221"/>
      <c r="V107" s="243"/>
      <c r="W107" s="221"/>
      <c r="X107" s="185"/>
      <c r="Y107" s="221"/>
      <c r="Z107" s="187"/>
      <c r="AA107" s="221"/>
      <c r="AB107" s="243"/>
      <c r="AC107" s="221"/>
      <c r="AD107" s="214"/>
      <c r="AE107" s="215"/>
      <c r="AF107" s="86"/>
      <c r="AG107" s="87"/>
      <c r="AH107" s="94"/>
      <c r="AI107" s="86"/>
      <c r="AJ107" s="87"/>
      <c r="AK107" s="94"/>
      <c r="AL107" s="86"/>
      <c r="AM107" s="87"/>
      <c r="AN107" s="94"/>
      <c r="AO107" s="86"/>
      <c r="AP107" s="87"/>
      <c r="AQ107" s="94"/>
      <c r="AR107" s="86"/>
      <c r="AS107" s="87"/>
      <c r="AT107" s="94"/>
      <c r="AU107" s="86"/>
      <c r="AV107" s="87"/>
      <c r="AW107" s="94"/>
      <c r="AX107" s="86"/>
      <c r="AY107" s="87"/>
      <c r="AZ107" s="94"/>
      <c r="BA107" s="86"/>
      <c r="BB107" s="87"/>
      <c r="BC107" s="94"/>
      <c r="BD107" s="216"/>
      <c r="BE107" s="215"/>
      <c r="BF107" s="232"/>
      <c r="BG107" s="233"/>
      <c r="BH107" s="233"/>
      <c r="BI107" s="234"/>
      <c r="BK107" s="1"/>
      <c r="BL107" s="1"/>
      <c r="BM107" s="1"/>
      <c r="BN107" s="1"/>
      <c r="BO107" s="1"/>
    </row>
    <row r="108" spans="1:67" s="6" customFormat="1" ht="30" customHeight="1">
      <c r="A108" s="111" t="s">
        <v>132</v>
      </c>
      <c r="B108" s="384" t="s">
        <v>236</v>
      </c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6"/>
      <c r="P108" s="214"/>
      <c r="Q108" s="205"/>
      <c r="R108" s="214">
        <v>5</v>
      </c>
      <c r="S108" s="204"/>
      <c r="T108" s="185">
        <f>AF108+AI108+AL108+AO108+AR108+AU108+AX108+BA108</f>
        <v>96</v>
      </c>
      <c r="U108" s="221"/>
      <c r="V108" s="222">
        <f>AG108+AJ108+AM108+AP108+AS108+AV108+AY108+BB108</f>
        <v>48</v>
      </c>
      <c r="W108" s="223"/>
      <c r="X108" s="204">
        <f>AC20*2</f>
        <v>32</v>
      </c>
      <c r="Y108" s="205"/>
      <c r="Z108" s="214">
        <f>AC20*1</f>
        <v>16</v>
      </c>
      <c r="AA108" s="205"/>
      <c r="AB108" s="214"/>
      <c r="AC108" s="205"/>
      <c r="AD108" s="214"/>
      <c r="AE108" s="204"/>
      <c r="AF108" s="86"/>
      <c r="AG108" s="87"/>
      <c r="AH108" s="94"/>
      <c r="AI108" s="86"/>
      <c r="AJ108" s="87"/>
      <c r="AK108" s="94"/>
      <c r="AL108" s="86"/>
      <c r="AM108" s="87"/>
      <c r="AN108" s="94"/>
      <c r="AO108" s="86"/>
      <c r="AP108" s="87"/>
      <c r="AQ108" s="94"/>
      <c r="AR108" s="86">
        <f>AS108*2</f>
        <v>96</v>
      </c>
      <c r="AS108" s="87">
        <f>X108+Z108+AB108</f>
        <v>48</v>
      </c>
      <c r="AT108" s="88">
        <f>AR108/32</f>
        <v>3</v>
      </c>
      <c r="AU108" s="95"/>
      <c r="AV108" s="87"/>
      <c r="AW108" s="88"/>
      <c r="AX108" s="86"/>
      <c r="AY108" s="87"/>
      <c r="AZ108" s="88"/>
      <c r="BA108" s="86"/>
      <c r="BB108" s="87"/>
      <c r="BC108" s="94"/>
      <c r="BD108" s="241">
        <f>AH108+AK108+AN108+AQ108+AT108+AW108+AZ108+BC108</f>
        <v>3</v>
      </c>
      <c r="BE108" s="257"/>
      <c r="BF108" s="244" t="s">
        <v>253</v>
      </c>
      <c r="BG108" s="245"/>
      <c r="BH108" s="245"/>
      <c r="BI108" s="246"/>
      <c r="BK108" s="1"/>
      <c r="BL108" s="1"/>
      <c r="BM108" s="1"/>
      <c r="BN108" s="1"/>
      <c r="BO108" s="1"/>
    </row>
    <row r="109" spans="1:67" s="6" customFormat="1" ht="31.5" customHeight="1">
      <c r="A109" s="112" t="s">
        <v>133</v>
      </c>
      <c r="B109" s="381" t="s">
        <v>235</v>
      </c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3"/>
      <c r="P109" s="214">
        <v>6</v>
      </c>
      <c r="Q109" s="205"/>
      <c r="R109" s="214"/>
      <c r="S109" s="204"/>
      <c r="T109" s="185">
        <f>AF109+AI109+AL109+AO109+AR109+AU109+AX109+BA109</f>
        <v>128</v>
      </c>
      <c r="U109" s="186"/>
      <c r="V109" s="187">
        <f>AG109+AJ109+AM109+AP109+AS109+AV109+AY109+BB109</f>
        <v>64</v>
      </c>
      <c r="W109" s="188"/>
      <c r="X109" s="375">
        <f>AC20*3</f>
        <v>48</v>
      </c>
      <c r="Y109" s="213"/>
      <c r="Z109" s="212">
        <f>AC20*1</f>
        <v>16</v>
      </c>
      <c r="AA109" s="213"/>
      <c r="AB109" s="214"/>
      <c r="AC109" s="205"/>
      <c r="AD109" s="214"/>
      <c r="AE109" s="204"/>
      <c r="AF109" s="86"/>
      <c r="AG109" s="87"/>
      <c r="AH109" s="94"/>
      <c r="AI109" s="86"/>
      <c r="AJ109" s="87"/>
      <c r="AK109" s="94"/>
      <c r="AL109" s="86"/>
      <c r="AM109" s="87"/>
      <c r="AN109" s="94"/>
      <c r="AO109" s="86"/>
      <c r="AP109" s="87"/>
      <c r="AQ109" s="94"/>
      <c r="AR109" s="86"/>
      <c r="AS109" s="87"/>
      <c r="AT109" s="94"/>
      <c r="AU109" s="95">
        <f>AV109*2</f>
        <v>128</v>
      </c>
      <c r="AV109" s="113">
        <f>AC20*(2+2)</f>
        <v>64</v>
      </c>
      <c r="AW109" s="88">
        <f>AU109/42.6</f>
        <v>3.004694835680751</v>
      </c>
      <c r="AX109" s="95"/>
      <c r="AY109" s="113"/>
      <c r="AZ109" s="88"/>
      <c r="BA109" s="86"/>
      <c r="BB109" s="87"/>
      <c r="BC109" s="94"/>
      <c r="BD109" s="241">
        <f>AH109+AK109+AN109+AQ109+AT109+AW109+AZ109+BC109</f>
        <v>3.004694835680751</v>
      </c>
      <c r="BE109" s="257"/>
      <c r="BF109" s="244" t="s">
        <v>254</v>
      </c>
      <c r="BG109" s="245"/>
      <c r="BH109" s="245"/>
      <c r="BI109" s="246"/>
      <c r="BK109" s="1"/>
      <c r="BL109" s="1"/>
      <c r="BM109" s="1"/>
      <c r="BN109" s="1"/>
      <c r="BO109" s="1"/>
    </row>
    <row r="110" spans="1:61" ht="57" customHeight="1">
      <c r="A110" s="111"/>
      <c r="B110" s="406" t="s">
        <v>428</v>
      </c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8"/>
      <c r="P110" s="214"/>
      <c r="Q110" s="205"/>
      <c r="R110" s="214"/>
      <c r="S110" s="204"/>
      <c r="T110" s="255">
        <f>T112+T113+T114+T116+T117+T118</f>
        <v>853.9240000000001</v>
      </c>
      <c r="U110" s="256"/>
      <c r="V110" s="253">
        <f>V112+V113+V114+V116+V117+V118</f>
        <v>470</v>
      </c>
      <c r="W110" s="254"/>
      <c r="X110" s="255">
        <f>X112+X113+X114+X116+X117+X118</f>
        <v>272</v>
      </c>
      <c r="Y110" s="256"/>
      <c r="Z110" s="253">
        <f>Z112+Z113+Z114+Z116+Z117+Z118</f>
        <v>112</v>
      </c>
      <c r="AA110" s="258"/>
      <c r="AB110" s="259">
        <f>AB112+AB113+AB114+AB116+AB117+AB118</f>
        <v>86</v>
      </c>
      <c r="AC110" s="256"/>
      <c r="AD110" s="253"/>
      <c r="AE110" s="254"/>
      <c r="AF110" s="149"/>
      <c r="AG110" s="150"/>
      <c r="AH110" s="151"/>
      <c r="AI110" s="149"/>
      <c r="AJ110" s="150"/>
      <c r="AK110" s="151"/>
      <c r="AL110" s="149"/>
      <c r="AM110" s="150"/>
      <c r="AN110" s="151"/>
      <c r="AO110" s="149"/>
      <c r="AP110" s="150"/>
      <c r="AQ110" s="151"/>
      <c r="AR110" s="149"/>
      <c r="AS110" s="150"/>
      <c r="AT110" s="151"/>
      <c r="AU110" s="149"/>
      <c r="AV110" s="150"/>
      <c r="AW110" s="151"/>
      <c r="AX110" s="149"/>
      <c r="AY110" s="150"/>
      <c r="AZ110" s="151"/>
      <c r="BA110" s="149"/>
      <c r="BB110" s="150"/>
      <c r="BC110" s="151"/>
      <c r="BD110" s="424">
        <f>BD112+BD113+BD114+BD116+BD117+BD118</f>
        <v>21.984254226439248</v>
      </c>
      <c r="BE110" s="425"/>
      <c r="BF110" s="350"/>
      <c r="BG110" s="351"/>
      <c r="BH110" s="351"/>
      <c r="BI110" s="352"/>
    </row>
    <row r="111" spans="1:67" s="6" customFormat="1" ht="27.75" customHeight="1">
      <c r="A111" s="112"/>
      <c r="B111" s="250" t="s">
        <v>305</v>
      </c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2"/>
      <c r="P111" s="214"/>
      <c r="Q111" s="205"/>
      <c r="R111" s="214"/>
      <c r="S111" s="215"/>
      <c r="T111" s="185"/>
      <c r="U111" s="221"/>
      <c r="V111" s="243"/>
      <c r="W111" s="221"/>
      <c r="X111" s="185"/>
      <c r="Y111" s="186"/>
      <c r="Z111" s="187"/>
      <c r="AA111" s="221"/>
      <c r="AB111" s="243"/>
      <c r="AC111" s="221"/>
      <c r="AD111" s="247"/>
      <c r="AE111" s="248"/>
      <c r="AF111" s="86"/>
      <c r="AG111" s="87"/>
      <c r="AH111" s="94"/>
      <c r="AI111" s="86"/>
      <c r="AJ111" s="87"/>
      <c r="AK111" s="94"/>
      <c r="AL111" s="146"/>
      <c r="AM111" s="147"/>
      <c r="AN111" s="148"/>
      <c r="AO111" s="146"/>
      <c r="AP111" s="147"/>
      <c r="AQ111" s="148"/>
      <c r="AR111" s="146"/>
      <c r="AS111" s="147"/>
      <c r="AT111" s="148"/>
      <c r="AU111" s="86"/>
      <c r="AV111" s="87"/>
      <c r="AW111" s="94"/>
      <c r="AX111" s="86"/>
      <c r="AY111" s="87"/>
      <c r="AZ111" s="94"/>
      <c r="BA111" s="146"/>
      <c r="BB111" s="147"/>
      <c r="BC111" s="148"/>
      <c r="BD111" s="216"/>
      <c r="BE111" s="215"/>
      <c r="BF111" s="232"/>
      <c r="BG111" s="233"/>
      <c r="BH111" s="233"/>
      <c r="BI111" s="234"/>
      <c r="BK111" s="1"/>
      <c r="BL111" s="1"/>
      <c r="BM111" s="1"/>
      <c r="BN111" s="1"/>
      <c r="BO111" s="1"/>
    </row>
    <row r="112" spans="1:67" s="6" customFormat="1" ht="29.25" customHeight="1">
      <c r="A112" s="249" t="s">
        <v>250</v>
      </c>
      <c r="B112" s="180" t="s">
        <v>249</v>
      </c>
      <c r="C112" s="560"/>
      <c r="D112" s="560"/>
      <c r="E112" s="560"/>
      <c r="F112" s="560"/>
      <c r="G112" s="560"/>
      <c r="H112" s="560"/>
      <c r="I112" s="560"/>
      <c r="J112" s="560"/>
      <c r="K112" s="560"/>
      <c r="L112" s="560"/>
      <c r="M112" s="560"/>
      <c r="N112" s="560"/>
      <c r="O112" s="561"/>
      <c r="P112" s="214">
        <v>6</v>
      </c>
      <c r="Q112" s="205"/>
      <c r="R112" s="214"/>
      <c r="S112" s="204"/>
      <c r="T112" s="185">
        <f>AF112+AI112+AL112+AO112+AR112+AU112+AX112+BA112</f>
        <v>136</v>
      </c>
      <c r="U112" s="221"/>
      <c r="V112" s="222">
        <f>AG112+AJ112+AM112+AP112+AS112+AV112+AY112+BB112</f>
        <v>80</v>
      </c>
      <c r="W112" s="223"/>
      <c r="X112" s="204">
        <f>AC20*4</f>
        <v>64</v>
      </c>
      <c r="Y112" s="205"/>
      <c r="Z112" s="214">
        <f>AC20*1</f>
        <v>16</v>
      </c>
      <c r="AA112" s="205"/>
      <c r="AB112" s="214"/>
      <c r="AC112" s="205"/>
      <c r="AD112" s="214"/>
      <c r="AE112" s="204"/>
      <c r="AF112" s="86"/>
      <c r="AG112" s="87"/>
      <c r="AH112" s="94"/>
      <c r="AI112" s="86"/>
      <c r="AJ112" s="87"/>
      <c r="AK112" s="94"/>
      <c r="AL112" s="86"/>
      <c r="AM112" s="87"/>
      <c r="AN112" s="94"/>
      <c r="AO112" s="86"/>
      <c r="AP112" s="87"/>
      <c r="AQ112" s="94"/>
      <c r="AR112" s="86"/>
      <c r="AS112" s="87"/>
      <c r="AT112" s="94"/>
      <c r="AU112" s="95">
        <f>AV112*1.7</f>
        <v>136</v>
      </c>
      <c r="AV112" s="87">
        <f>X112+Z112+AB112</f>
        <v>80</v>
      </c>
      <c r="AW112" s="88">
        <f>AU112/45.4</f>
        <v>2.995594713656388</v>
      </c>
      <c r="AX112" s="86"/>
      <c r="AY112" s="87"/>
      <c r="AZ112" s="94"/>
      <c r="BA112" s="86"/>
      <c r="BB112" s="87"/>
      <c r="BC112" s="94"/>
      <c r="BD112" s="241">
        <f>AH112+AK112+AN112+AQ112+AT112+AW112+AZ112+BC112</f>
        <v>2.995594713656388</v>
      </c>
      <c r="BE112" s="242"/>
      <c r="BF112" s="235" t="s">
        <v>252</v>
      </c>
      <c r="BG112" s="236"/>
      <c r="BH112" s="236"/>
      <c r="BI112" s="237"/>
      <c r="BK112" s="1"/>
      <c r="BL112" s="1"/>
      <c r="BM112" s="1"/>
      <c r="BN112" s="1"/>
      <c r="BO112" s="1"/>
    </row>
    <row r="113" spans="1:67" s="6" customFormat="1" ht="63" customHeight="1">
      <c r="A113" s="184"/>
      <c r="B113" s="180" t="s">
        <v>429</v>
      </c>
      <c r="C113" s="560"/>
      <c r="D113" s="560"/>
      <c r="E113" s="560"/>
      <c r="F113" s="560"/>
      <c r="G113" s="560"/>
      <c r="H113" s="560"/>
      <c r="I113" s="560"/>
      <c r="J113" s="560"/>
      <c r="K113" s="560"/>
      <c r="L113" s="560"/>
      <c r="M113" s="560"/>
      <c r="N113" s="560"/>
      <c r="O113" s="561"/>
      <c r="P113" s="214"/>
      <c r="Q113" s="205"/>
      <c r="R113" s="214"/>
      <c r="S113" s="204"/>
      <c r="T113" s="185">
        <f>AF113+AI113+AL113+AO113+AR113+AU113+AX113+BA113</f>
        <v>60</v>
      </c>
      <c r="U113" s="221"/>
      <c r="V113" s="222">
        <f>AG113+AJ113+AM113+AP113+AS113+AV113+AY113+BB113</f>
        <v>16</v>
      </c>
      <c r="W113" s="223"/>
      <c r="X113" s="204"/>
      <c r="Y113" s="205"/>
      <c r="Z113" s="214"/>
      <c r="AA113" s="205"/>
      <c r="AB113" s="214">
        <f>AC20*1</f>
        <v>16</v>
      </c>
      <c r="AC113" s="205"/>
      <c r="AD113" s="214"/>
      <c r="AE113" s="204"/>
      <c r="AF113" s="86"/>
      <c r="AG113" s="87"/>
      <c r="AH113" s="94"/>
      <c r="AI113" s="86"/>
      <c r="AJ113" s="87"/>
      <c r="AK113" s="94"/>
      <c r="AL113" s="86"/>
      <c r="AM113" s="87"/>
      <c r="AN113" s="94"/>
      <c r="AO113" s="86"/>
      <c r="AP113" s="87"/>
      <c r="AQ113" s="94"/>
      <c r="AR113" s="86"/>
      <c r="AS113" s="87"/>
      <c r="AT113" s="94"/>
      <c r="AU113" s="95">
        <f>AV113*3.75</f>
        <v>60</v>
      </c>
      <c r="AV113" s="87">
        <f>AB113</f>
        <v>16</v>
      </c>
      <c r="AW113" s="88">
        <v>2</v>
      </c>
      <c r="AX113" s="86"/>
      <c r="AY113" s="87"/>
      <c r="AZ113" s="94"/>
      <c r="BA113" s="86"/>
      <c r="BB113" s="87"/>
      <c r="BC113" s="94"/>
      <c r="BD113" s="241">
        <f>AH113+AK113+AN113+AQ113+AT113+AW113+AZ113+BC113</f>
        <v>2</v>
      </c>
      <c r="BE113" s="257"/>
      <c r="BF113" s="238"/>
      <c r="BG113" s="239"/>
      <c r="BH113" s="239"/>
      <c r="BI113" s="240"/>
      <c r="BK113" s="1"/>
      <c r="BL113" s="1"/>
      <c r="BM113" s="1"/>
      <c r="BN113" s="1"/>
      <c r="BO113" s="1"/>
    </row>
    <row r="114" spans="1:61" ht="54" customHeight="1">
      <c r="A114" s="111" t="s">
        <v>182</v>
      </c>
      <c r="B114" s="180" t="s">
        <v>247</v>
      </c>
      <c r="C114" s="560"/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O114" s="561"/>
      <c r="P114" s="214">
        <v>8</v>
      </c>
      <c r="Q114" s="205"/>
      <c r="R114" s="214">
        <v>7</v>
      </c>
      <c r="S114" s="204"/>
      <c r="T114" s="185">
        <f>AF114+AI114+AL114+AO114+AR114+AU114+AX114+BA114</f>
        <v>244.03199999999998</v>
      </c>
      <c r="U114" s="221"/>
      <c r="V114" s="222">
        <f>AG114+AJ114+AM114+AP114+AS114+AV114+AY114+BB114</f>
        <v>144</v>
      </c>
      <c r="W114" s="223"/>
      <c r="X114" s="204">
        <f>AC20*3+H21*2</f>
        <v>80</v>
      </c>
      <c r="Y114" s="205"/>
      <c r="Z114" s="214">
        <f>AC20*1+H21*1</f>
        <v>32</v>
      </c>
      <c r="AA114" s="205"/>
      <c r="AB114" s="214">
        <f>H21*2</f>
        <v>32</v>
      </c>
      <c r="AC114" s="205"/>
      <c r="AD114" s="214"/>
      <c r="AE114" s="204"/>
      <c r="AF114" s="86"/>
      <c r="AG114" s="87"/>
      <c r="AH114" s="94"/>
      <c r="AI114" s="86"/>
      <c r="AJ114" s="87"/>
      <c r="AK114" s="94"/>
      <c r="AL114" s="86"/>
      <c r="AM114" s="87"/>
      <c r="AN114" s="94"/>
      <c r="AO114" s="86"/>
      <c r="AP114" s="87"/>
      <c r="AQ114" s="94"/>
      <c r="AR114" s="86"/>
      <c r="AS114" s="87"/>
      <c r="AT114" s="94"/>
      <c r="AU114" s="95"/>
      <c r="AV114" s="87"/>
      <c r="AW114" s="88"/>
      <c r="AX114" s="95">
        <f>AY114*1.688</f>
        <v>108.032</v>
      </c>
      <c r="AY114" s="87">
        <f>H21*(2+1+1)</f>
        <v>64</v>
      </c>
      <c r="AZ114" s="88">
        <f>AX114/36</f>
        <v>3.000888888888889</v>
      </c>
      <c r="BA114" s="86">
        <f>BB114*1.7</f>
        <v>136</v>
      </c>
      <c r="BB114" s="87">
        <f>AC21*10</f>
        <v>80</v>
      </c>
      <c r="BC114" s="88">
        <f>BA114/45.4</f>
        <v>2.995594713656388</v>
      </c>
      <c r="BD114" s="241">
        <f>AH114+AK114+AN114+AQ114+AT114+AW114+AZ114+BC114</f>
        <v>5.996483602545277</v>
      </c>
      <c r="BE114" s="242"/>
      <c r="BF114" s="350" t="s">
        <v>251</v>
      </c>
      <c r="BG114" s="351"/>
      <c r="BH114" s="351"/>
      <c r="BI114" s="352"/>
    </row>
    <row r="115" spans="1:67" s="6" customFormat="1" ht="27.75" customHeight="1">
      <c r="A115" s="112"/>
      <c r="B115" s="250" t="s">
        <v>304</v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2"/>
      <c r="P115" s="214"/>
      <c r="Q115" s="205"/>
      <c r="R115" s="214"/>
      <c r="S115" s="215"/>
      <c r="T115" s="185"/>
      <c r="U115" s="221"/>
      <c r="V115" s="243"/>
      <c r="W115" s="221"/>
      <c r="X115" s="185"/>
      <c r="Y115" s="221"/>
      <c r="Z115" s="243"/>
      <c r="AA115" s="221"/>
      <c r="AB115" s="243"/>
      <c r="AC115" s="221"/>
      <c r="AD115" s="247"/>
      <c r="AE115" s="248"/>
      <c r="AF115" s="86"/>
      <c r="AG115" s="87"/>
      <c r="AH115" s="94"/>
      <c r="AI115" s="86"/>
      <c r="AJ115" s="87"/>
      <c r="AK115" s="94"/>
      <c r="AL115" s="146"/>
      <c r="AM115" s="147"/>
      <c r="AN115" s="148"/>
      <c r="AO115" s="146"/>
      <c r="AP115" s="147"/>
      <c r="AQ115" s="148"/>
      <c r="AR115" s="146"/>
      <c r="AS115" s="147"/>
      <c r="AT115" s="148"/>
      <c r="AU115" s="86"/>
      <c r="AV115" s="87"/>
      <c r="AW115" s="94"/>
      <c r="AX115" s="86"/>
      <c r="AY115" s="87"/>
      <c r="AZ115" s="94"/>
      <c r="BA115" s="146"/>
      <c r="BB115" s="147"/>
      <c r="BC115" s="148"/>
      <c r="BD115" s="216"/>
      <c r="BE115" s="215"/>
      <c r="BF115" s="232"/>
      <c r="BG115" s="233"/>
      <c r="BH115" s="233"/>
      <c r="BI115" s="234"/>
      <c r="BK115" s="1"/>
      <c r="BL115" s="1"/>
      <c r="BM115" s="1"/>
      <c r="BN115" s="1"/>
      <c r="BO115" s="1"/>
    </row>
    <row r="116" spans="1:67" s="6" customFormat="1" ht="29.25" customHeight="1">
      <c r="A116" s="249" t="s">
        <v>183</v>
      </c>
      <c r="B116" s="180" t="s">
        <v>248</v>
      </c>
      <c r="C116" s="560"/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  <c r="O116" s="561"/>
      <c r="P116" s="214">
        <v>7</v>
      </c>
      <c r="Q116" s="205"/>
      <c r="R116" s="214">
        <v>6</v>
      </c>
      <c r="S116" s="204"/>
      <c r="T116" s="185">
        <f>AF116+AI116+AL116+AO116+AR116+AU116+AX116+BA116</f>
        <v>265.86</v>
      </c>
      <c r="U116" s="221"/>
      <c r="V116" s="222">
        <f>AG116+AJ116+AM116+AP116+AS116+AV116+AY116+BB116</f>
        <v>166</v>
      </c>
      <c r="W116" s="223"/>
      <c r="X116" s="204">
        <f>AC20*3+H21*2</f>
        <v>80</v>
      </c>
      <c r="Y116" s="205"/>
      <c r="Z116" s="214">
        <f>AC20*2+H21*1</f>
        <v>48</v>
      </c>
      <c r="AA116" s="205"/>
      <c r="AB116" s="214">
        <f>AC20*1+H21*1.375</f>
        <v>38</v>
      </c>
      <c r="AC116" s="205"/>
      <c r="AD116" s="214"/>
      <c r="AE116" s="204"/>
      <c r="AF116" s="86"/>
      <c r="AG116" s="87"/>
      <c r="AH116" s="94"/>
      <c r="AI116" s="86"/>
      <c r="AJ116" s="87"/>
      <c r="AK116" s="94"/>
      <c r="AL116" s="86"/>
      <c r="AM116" s="87"/>
      <c r="AN116" s="94"/>
      <c r="AO116" s="86"/>
      <c r="AP116" s="87"/>
      <c r="AQ116" s="94"/>
      <c r="AR116" s="86"/>
      <c r="AS116" s="87"/>
      <c r="AT116" s="94"/>
      <c r="AU116" s="95">
        <f>AV116*1.7</f>
        <v>136</v>
      </c>
      <c r="AV116" s="87">
        <f>AC20*(3+2)</f>
        <v>80</v>
      </c>
      <c r="AW116" s="88">
        <f>AU116/45.4</f>
        <v>2.995594713656388</v>
      </c>
      <c r="AX116" s="95">
        <f>AY116*1.51</f>
        <v>129.86</v>
      </c>
      <c r="AY116" s="113">
        <f>H21*(3+1+1.375)</f>
        <v>86</v>
      </c>
      <c r="AZ116" s="88">
        <f>AX116/32.5</f>
        <v>3.995692307692308</v>
      </c>
      <c r="BA116" s="86"/>
      <c r="BB116" s="87"/>
      <c r="BC116" s="94"/>
      <c r="BD116" s="241">
        <f>AH116+AK116+AN116+AQ116+AT116+AW116+AZ116+BC116</f>
        <v>6.991287021348696</v>
      </c>
      <c r="BE116" s="242"/>
      <c r="BF116" s="235" t="s">
        <v>405</v>
      </c>
      <c r="BG116" s="236"/>
      <c r="BH116" s="236"/>
      <c r="BI116" s="237"/>
      <c r="BK116" s="1"/>
      <c r="BL116" s="1"/>
      <c r="BM116" s="1"/>
      <c r="BN116" s="1"/>
      <c r="BO116" s="1"/>
    </row>
    <row r="117" spans="1:67" s="6" customFormat="1" ht="51" customHeight="1">
      <c r="A117" s="184"/>
      <c r="B117" s="180" t="s">
        <v>430</v>
      </c>
      <c r="C117" s="560"/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561"/>
      <c r="P117" s="214"/>
      <c r="Q117" s="205"/>
      <c r="R117" s="214"/>
      <c r="S117" s="215"/>
      <c r="T117" s="185">
        <f>AF117+AI117+AL117+AO117+AR117+AU117+AX117+BA117</f>
        <v>40</v>
      </c>
      <c r="U117" s="221"/>
      <c r="V117" s="222"/>
      <c r="W117" s="223"/>
      <c r="X117" s="204"/>
      <c r="Y117" s="205"/>
      <c r="Z117" s="214"/>
      <c r="AA117" s="205"/>
      <c r="AB117" s="214"/>
      <c r="AC117" s="205"/>
      <c r="AD117" s="214"/>
      <c r="AE117" s="204"/>
      <c r="AF117" s="86"/>
      <c r="AG117" s="87"/>
      <c r="AH117" s="94"/>
      <c r="AI117" s="86"/>
      <c r="AJ117" s="87"/>
      <c r="AK117" s="94"/>
      <c r="AL117" s="86"/>
      <c r="AM117" s="87"/>
      <c r="AN117" s="94"/>
      <c r="AO117" s="86"/>
      <c r="AP117" s="87"/>
      <c r="AQ117" s="94"/>
      <c r="AR117" s="86"/>
      <c r="AS117" s="87"/>
      <c r="AT117" s="94"/>
      <c r="AU117" s="86"/>
      <c r="AV117" s="87"/>
      <c r="AW117" s="94"/>
      <c r="AX117" s="86">
        <v>40</v>
      </c>
      <c r="AY117" s="87"/>
      <c r="AZ117" s="94">
        <v>1</v>
      </c>
      <c r="BA117" s="86"/>
      <c r="BB117" s="87"/>
      <c r="BC117" s="94"/>
      <c r="BD117" s="241">
        <f>AH117+AK117+AN117+AQ117+AT117+AW117+AZ117+BC117</f>
        <v>1</v>
      </c>
      <c r="BE117" s="257"/>
      <c r="BF117" s="238"/>
      <c r="BG117" s="239"/>
      <c r="BH117" s="239"/>
      <c r="BI117" s="240"/>
      <c r="BK117" s="1"/>
      <c r="BL117" s="1"/>
      <c r="BM117" s="1"/>
      <c r="BN117" s="1"/>
      <c r="BO117" s="1"/>
    </row>
    <row r="118" spans="1:61" ht="30" customHeight="1" thickBot="1">
      <c r="A118" s="111" t="s">
        <v>184</v>
      </c>
      <c r="B118" s="229" t="s">
        <v>246</v>
      </c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1"/>
      <c r="P118" s="214">
        <v>7</v>
      </c>
      <c r="Q118" s="205"/>
      <c r="R118" s="214"/>
      <c r="S118" s="204"/>
      <c r="T118" s="185">
        <f>AF118+AI118+AL118+AO118+AR118+AU118+AX118+BA118</f>
        <v>108.032</v>
      </c>
      <c r="U118" s="221"/>
      <c r="V118" s="222">
        <f>AG118+AJ118+AM118+AP118+AS118+AV118+AY118+BB118</f>
        <v>64</v>
      </c>
      <c r="W118" s="223"/>
      <c r="X118" s="204">
        <f>H21*3</f>
        <v>48</v>
      </c>
      <c r="Y118" s="205"/>
      <c r="Z118" s="214">
        <f>H21*1</f>
        <v>16</v>
      </c>
      <c r="AA118" s="205"/>
      <c r="AB118" s="214"/>
      <c r="AC118" s="205"/>
      <c r="AD118" s="214"/>
      <c r="AE118" s="204"/>
      <c r="AF118" s="86"/>
      <c r="AG118" s="87"/>
      <c r="AH118" s="94"/>
      <c r="AI118" s="86"/>
      <c r="AJ118" s="87"/>
      <c r="AK118" s="94"/>
      <c r="AL118" s="86"/>
      <c r="AM118" s="87"/>
      <c r="AN118" s="94"/>
      <c r="AO118" s="86"/>
      <c r="AP118" s="87"/>
      <c r="AQ118" s="94"/>
      <c r="AR118" s="86"/>
      <c r="AS118" s="87"/>
      <c r="AT118" s="94"/>
      <c r="AU118" s="86"/>
      <c r="AV118" s="87"/>
      <c r="AW118" s="94"/>
      <c r="AX118" s="86">
        <f>AY118*1.688</f>
        <v>108.032</v>
      </c>
      <c r="AY118" s="87">
        <f>H21*(3+1)</f>
        <v>64</v>
      </c>
      <c r="AZ118" s="88">
        <f>AX118/36</f>
        <v>3.000888888888889</v>
      </c>
      <c r="BA118" s="86"/>
      <c r="BB118" s="87"/>
      <c r="BC118" s="88"/>
      <c r="BD118" s="241">
        <f>AH118+AK118+AN118+AQ118+AT118+AW118+AZ118+BC118</f>
        <v>3.000888888888889</v>
      </c>
      <c r="BE118" s="242"/>
      <c r="BF118" s="350" t="s">
        <v>406</v>
      </c>
      <c r="BG118" s="351"/>
      <c r="BH118" s="351"/>
      <c r="BI118" s="352"/>
    </row>
    <row r="119" spans="1:67" s="6" customFormat="1" ht="36.75" customHeight="1" thickBot="1">
      <c r="A119" s="152" t="s">
        <v>142</v>
      </c>
      <c r="B119" s="415" t="s">
        <v>140</v>
      </c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7"/>
      <c r="P119" s="338"/>
      <c r="Q119" s="339"/>
      <c r="R119" s="338"/>
      <c r="S119" s="340"/>
      <c r="T119" s="411" t="s">
        <v>369</v>
      </c>
      <c r="U119" s="345"/>
      <c r="V119" s="410" t="s">
        <v>369</v>
      </c>
      <c r="W119" s="344"/>
      <c r="X119" s="342" t="s">
        <v>370</v>
      </c>
      <c r="Y119" s="345"/>
      <c r="Z119" s="410"/>
      <c r="AA119" s="345"/>
      <c r="AB119" s="410" t="s">
        <v>371</v>
      </c>
      <c r="AC119" s="345"/>
      <c r="AD119" s="420"/>
      <c r="AE119" s="421"/>
      <c r="AF119" s="153"/>
      <c r="AG119" s="154"/>
      <c r="AH119" s="155"/>
      <c r="AI119" s="153"/>
      <c r="AJ119" s="154"/>
      <c r="AK119" s="155"/>
      <c r="AL119" s="153"/>
      <c r="AM119" s="154"/>
      <c r="AN119" s="155"/>
      <c r="AO119" s="153"/>
      <c r="AP119" s="154"/>
      <c r="AQ119" s="155"/>
      <c r="AR119" s="153"/>
      <c r="AS119" s="154"/>
      <c r="AT119" s="155"/>
      <c r="AU119" s="153"/>
      <c r="AV119" s="154"/>
      <c r="AW119" s="155"/>
      <c r="AX119" s="153"/>
      <c r="AY119" s="154"/>
      <c r="AZ119" s="155"/>
      <c r="BA119" s="153"/>
      <c r="BB119" s="154"/>
      <c r="BC119" s="155"/>
      <c r="BD119" s="422"/>
      <c r="BE119" s="423"/>
      <c r="BF119" s="412"/>
      <c r="BG119" s="413"/>
      <c r="BH119" s="413"/>
      <c r="BI119" s="414"/>
      <c r="BK119" s="1"/>
      <c r="BL119" s="1"/>
      <c r="BM119" s="1"/>
      <c r="BN119" s="1"/>
      <c r="BO119" s="1"/>
    </row>
    <row r="120" spans="1:67" s="6" customFormat="1" ht="28.5" customHeight="1">
      <c r="A120" s="112" t="s">
        <v>66</v>
      </c>
      <c r="B120" s="180" t="s">
        <v>187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2"/>
      <c r="P120" s="378"/>
      <c r="Q120" s="379"/>
      <c r="R120" s="378" t="s">
        <v>337</v>
      </c>
      <c r="S120" s="380"/>
      <c r="T120" s="261" t="s">
        <v>338</v>
      </c>
      <c r="U120" s="281"/>
      <c r="V120" s="431" t="s">
        <v>338</v>
      </c>
      <c r="W120" s="432"/>
      <c r="X120" s="261" t="s">
        <v>338</v>
      </c>
      <c r="Y120" s="221"/>
      <c r="Z120" s="214"/>
      <c r="AA120" s="205"/>
      <c r="AB120" s="214"/>
      <c r="AC120" s="205"/>
      <c r="AD120" s="214"/>
      <c r="AE120" s="204"/>
      <c r="AF120" s="86" t="s">
        <v>338</v>
      </c>
      <c r="AG120" s="87" t="s">
        <v>338</v>
      </c>
      <c r="AH120" s="94"/>
      <c r="AI120" s="86"/>
      <c r="AJ120" s="87"/>
      <c r="AK120" s="94"/>
      <c r="AL120" s="86"/>
      <c r="AM120" s="87"/>
      <c r="AN120" s="94"/>
      <c r="AO120" s="86"/>
      <c r="AP120" s="87"/>
      <c r="AQ120" s="94"/>
      <c r="AR120" s="86"/>
      <c r="AS120" s="87"/>
      <c r="AT120" s="94"/>
      <c r="AU120" s="86"/>
      <c r="AV120" s="87"/>
      <c r="AW120" s="94"/>
      <c r="AX120" s="86"/>
      <c r="AY120" s="87"/>
      <c r="AZ120" s="94"/>
      <c r="BA120" s="86"/>
      <c r="BB120" s="87"/>
      <c r="BC120" s="94"/>
      <c r="BD120" s="418"/>
      <c r="BE120" s="419"/>
      <c r="BF120" s="363" t="s">
        <v>382</v>
      </c>
      <c r="BG120" s="364"/>
      <c r="BH120" s="364"/>
      <c r="BI120" s="365"/>
      <c r="BK120" s="1"/>
      <c r="BL120" s="1"/>
      <c r="BM120" s="1"/>
      <c r="BN120" s="1"/>
      <c r="BO120" s="1"/>
    </row>
    <row r="121" spans="1:67" s="6" customFormat="1" ht="30" customHeight="1">
      <c r="A121" s="112" t="s">
        <v>130</v>
      </c>
      <c r="B121" s="180" t="s">
        <v>186</v>
      </c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2"/>
      <c r="P121" s="378"/>
      <c r="Q121" s="379"/>
      <c r="R121" s="378" t="s">
        <v>365</v>
      </c>
      <c r="S121" s="380"/>
      <c r="T121" s="261" t="s">
        <v>339</v>
      </c>
      <c r="U121" s="221"/>
      <c r="V121" s="222" t="s">
        <v>339</v>
      </c>
      <c r="W121" s="223"/>
      <c r="X121" s="204" t="s">
        <v>339</v>
      </c>
      <c r="Y121" s="205"/>
      <c r="Z121" s="214"/>
      <c r="AA121" s="205"/>
      <c r="AB121" s="214"/>
      <c r="AC121" s="205"/>
      <c r="AD121" s="214"/>
      <c r="AE121" s="204"/>
      <c r="AF121" s="86"/>
      <c r="AG121" s="87"/>
      <c r="AH121" s="94"/>
      <c r="AI121" s="86" t="s">
        <v>339</v>
      </c>
      <c r="AJ121" s="87" t="s">
        <v>339</v>
      </c>
      <c r="AK121" s="94"/>
      <c r="AL121" s="86"/>
      <c r="AM121" s="87"/>
      <c r="AN121" s="94"/>
      <c r="AO121" s="86"/>
      <c r="AP121" s="87"/>
      <c r="AQ121" s="94"/>
      <c r="AR121" s="86"/>
      <c r="AS121" s="87"/>
      <c r="AT121" s="94"/>
      <c r="AU121" s="86"/>
      <c r="AV121" s="87"/>
      <c r="AW121" s="94"/>
      <c r="AX121" s="86"/>
      <c r="AY121" s="87"/>
      <c r="AZ121" s="94"/>
      <c r="BA121" s="86"/>
      <c r="BB121" s="87"/>
      <c r="BC121" s="94"/>
      <c r="BD121" s="418"/>
      <c r="BE121" s="419"/>
      <c r="BF121" s="350" t="s">
        <v>383</v>
      </c>
      <c r="BG121" s="351"/>
      <c r="BH121" s="351"/>
      <c r="BI121" s="352"/>
      <c r="BK121" s="1"/>
      <c r="BL121" s="1"/>
      <c r="BM121" s="1"/>
      <c r="BN121" s="1"/>
      <c r="BO121" s="1"/>
    </row>
    <row r="122" spans="1:67" s="6" customFormat="1" ht="28.5" customHeight="1">
      <c r="A122" s="112" t="s">
        <v>185</v>
      </c>
      <c r="B122" s="180" t="s">
        <v>189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2"/>
      <c r="P122" s="378"/>
      <c r="Q122" s="379"/>
      <c r="R122" s="378" t="s">
        <v>366</v>
      </c>
      <c r="S122" s="380"/>
      <c r="T122" s="261" t="s">
        <v>368</v>
      </c>
      <c r="U122" s="221"/>
      <c r="V122" s="222" t="s">
        <v>368</v>
      </c>
      <c r="W122" s="223"/>
      <c r="X122" s="204"/>
      <c r="Y122" s="205"/>
      <c r="Z122" s="214"/>
      <c r="AA122" s="205"/>
      <c r="AB122" s="214" t="s">
        <v>368</v>
      </c>
      <c r="AC122" s="205"/>
      <c r="AD122" s="214"/>
      <c r="AE122" s="204"/>
      <c r="AF122" s="86"/>
      <c r="AG122" s="87"/>
      <c r="AH122" s="94"/>
      <c r="AI122" s="86"/>
      <c r="AJ122" s="87"/>
      <c r="AK122" s="94"/>
      <c r="AL122" s="86"/>
      <c r="AM122" s="87"/>
      <c r="AN122" s="94"/>
      <c r="AO122" s="86"/>
      <c r="AP122" s="87"/>
      <c r="AQ122" s="94"/>
      <c r="AR122" s="86" t="s">
        <v>342</v>
      </c>
      <c r="AS122" s="87" t="s">
        <v>342</v>
      </c>
      <c r="AT122" s="94"/>
      <c r="AU122" s="86" t="s">
        <v>340</v>
      </c>
      <c r="AV122" s="87" t="s">
        <v>340</v>
      </c>
      <c r="AW122" s="94"/>
      <c r="AX122" s="86"/>
      <c r="AY122" s="87"/>
      <c r="AZ122" s="94"/>
      <c r="BA122" s="86"/>
      <c r="BB122" s="87"/>
      <c r="BC122" s="94"/>
      <c r="BD122" s="418"/>
      <c r="BE122" s="419"/>
      <c r="BF122" s="209" t="s">
        <v>285</v>
      </c>
      <c r="BG122" s="210"/>
      <c r="BH122" s="210"/>
      <c r="BI122" s="211"/>
      <c r="BK122" s="1"/>
      <c r="BL122" s="1"/>
      <c r="BM122" s="1"/>
      <c r="BN122" s="1"/>
      <c r="BO122" s="1"/>
    </row>
    <row r="123" spans="1:67" s="6" customFormat="1" ht="28.5" customHeight="1" thickBot="1">
      <c r="A123" s="112" t="s">
        <v>325</v>
      </c>
      <c r="B123" s="180" t="s">
        <v>188</v>
      </c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2"/>
      <c r="P123" s="378"/>
      <c r="Q123" s="379"/>
      <c r="R123" s="378" t="s">
        <v>367</v>
      </c>
      <c r="S123" s="380"/>
      <c r="T123" s="261" t="s">
        <v>340</v>
      </c>
      <c r="U123" s="221"/>
      <c r="V123" s="222" t="s">
        <v>340</v>
      </c>
      <c r="W123" s="223"/>
      <c r="X123" s="204"/>
      <c r="Y123" s="205"/>
      <c r="Z123" s="214"/>
      <c r="AA123" s="205"/>
      <c r="AB123" s="214" t="s">
        <v>340</v>
      </c>
      <c r="AC123" s="205"/>
      <c r="AD123" s="214"/>
      <c r="AE123" s="204"/>
      <c r="AF123" s="86"/>
      <c r="AG123" s="87"/>
      <c r="AH123" s="94"/>
      <c r="AI123" s="86"/>
      <c r="AJ123" s="87"/>
      <c r="AK123" s="94"/>
      <c r="AL123" s="86"/>
      <c r="AM123" s="87"/>
      <c r="AN123" s="94"/>
      <c r="AO123" s="86"/>
      <c r="AP123" s="87"/>
      <c r="AQ123" s="94"/>
      <c r="AR123" s="86"/>
      <c r="AS123" s="87"/>
      <c r="AT123" s="94"/>
      <c r="AU123" s="86"/>
      <c r="AV123" s="87"/>
      <c r="AW123" s="94"/>
      <c r="AX123" s="86"/>
      <c r="AY123" s="87"/>
      <c r="AZ123" s="94"/>
      <c r="BA123" s="86" t="s">
        <v>340</v>
      </c>
      <c r="BB123" s="87" t="s">
        <v>340</v>
      </c>
      <c r="BC123" s="94"/>
      <c r="BD123" s="418"/>
      <c r="BE123" s="419"/>
      <c r="BF123" s="433" t="s">
        <v>208</v>
      </c>
      <c r="BG123" s="434"/>
      <c r="BH123" s="434"/>
      <c r="BI123" s="435"/>
      <c r="BK123" s="1"/>
      <c r="BL123" s="1"/>
      <c r="BM123" s="1"/>
      <c r="BN123" s="1"/>
      <c r="BO123" s="1"/>
    </row>
    <row r="124" spans="1:67" s="6" customFormat="1" ht="40.5" customHeight="1" thickBot="1">
      <c r="A124" s="152" t="s">
        <v>139</v>
      </c>
      <c r="B124" s="415" t="s">
        <v>141</v>
      </c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7"/>
      <c r="P124" s="338"/>
      <c r="Q124" s="339"/>
      <c r="R124" s="410" t="s">
        <v>196</v>
      </c>
      <c r="S124" s="342"/>
      <c r="T124" s="411">
        <v>472</v>
      </c>
      <c r="U124" s="345"/>
      <c r="V124" s="410">
        <v>438</v>
      </c>
      <c r="W124" s="344"/>
      <c r="X124" s="342"/>
      <c r="Y124" s="345"/>
      <c r="Z124" s="410"/>
      <c r="AA124" s="345"/>
      <c r="AB124" s="410">
        <v>438</v>
      </c>
      <c r="AC124" s="345"/>
      <c r="AD124" s="420"/>
      <c r="AE124" s="421"/>
      <c r="AF124" s="153"/>
      <c r="AG124" s="154"/>
      <c r="AH124" s="155"/>
      <c r="AI124" s="153"/>
      <c r="AJ124" s="154"/>
      <c r="AK124" s="155"/>
      <c r="AL124" s="153"/>
      <c r="AM124" s="154"/>
      <c r="AN124" s="155"/>
      <c r="AO124" s="153"/>
      <c r="AP124" s="154"/>
      <c r="AQ124" s="155"/>
      <c r="AR124" s="153"/>
      <c r="AS124" s="154"/>
      <c r="AT124" s="155"/>
      <c r="AU124" s="153"/>
      <c r="AV124" s="154"/>
      <c r="AW124" s="155"/>
      <c r="AX124" s="153"/>
      <c r="AY124" s="154"/>
      <c r="AZ124" s="155"/>
      <c r="BA124" s="153"/>
      <c r="BB124" s="154"/>
      <c r="BC124" s="155"/>
      <c r="BD124" s="422"/>
      <c r="BE124" s="423"/>
      <c r="BF124" s="412"/>
      <c r="BG124" s="413"/>
      <c r="BH124" s="413"/>
      <c r="BI124" s="414"/>
      <c r="BK124" s="1"/>
      <c r="BL124" s="1"/>
      <c r="BM124" s="1"/>
      <c r="BN124" s="1"/>
      <c r="BO124" s="1"/>
    </row>
    <row r="125" spans="1:61" s="6" customFormat="1" ht="27.75" customHeight="1">
      <c r="A125" s="111" t="s">
        <v>70</v>
      </c>
      <c r="B125" s="436" t="s">
        <v>161</v>
      </c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8"/>
      <c r="P125" s="214"/>
      <c r="Q125" s="205"/>
      <c r="R125" s="439" t="s">
        <v>365</v>
      </c>
      <c r="S125" s="440"/>
      <c r="T125" s="261" t="s">
        <v>341</v>
      </c>
      <c r="U125" s="221"/>
      <c r="V125" s="222" t="s">
        <v>342</v>
      </c>
      <c r="W125" s="223"/>
      <c r="X125" s="204"/>
      <c r="Y125" s="205"/>
      <c r="Z125" s="214"/>
      <c r="AA125" s="205"/>
      <c r="AB125" s="214" t="s">
        <v>342</v>
      </c>
      <c r="AC125" s="205"/>
      <c r="AD125" s="214"/>
      <c r="AE125" s="204"/>
      <c r="AF125" s="86"/>
      <c r="AG125" s="87"/>
      <c r="AH125" s="88"/>
      <c r="AI125" s="86" t="s">
        <v>341</v>
      </c>
      <c r="AJ125" s="87" t="s">
        <v>342</v>
      </c>
      <c r="AK125" s="94"/>
      <c r="AL125" s="86"/>
      <c r="AM125" s="87"/>
      <c r="AN125" s="102"/>
      <c r="AO125" s="86"/>
      <c r="AP125" s="87"/>
      <c r="AQ125" s="94"/>
      <c r="AR125" s="116"/>
      <c r="AS125" s="87"/>
      <c r="AT125" s="94"/>
      <c r="AU125" s="86"/>
      <c r="AV125" s="87"/>
      <c r="AW125" s="94"/>
      <c r="AX125" s="86"/>
      <c r="AY125" s="87"/>
      <c r="AZ125" s="94"/>
      <c r="BA125" s="86"/>
      <c r="BB125" s="87"/>
      <c r="BC125" s="94"/>
      <c r="BD125" s="216"/>
      <c r="BE125" s="217"/>
      <c r="BF125" s="244" t="s">
        <v>284</v>
      </c>
      <c r="BG125" s="245"/>
      <c r="BH125" s="245"/>
      <c r="BI125" s="246"/>
    </row>
    <row r="126" spans="1:67" s="6" customFormat="1" ht="34.5" customHeight="1" thickBot="1">
      <c r="A126" s="112" t="s">
        <v>321</v>
      </c>
      <c r="B126" s="446" t="s">
        <v>189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447"/>
      <c r="P126" s="214"/>
      <c r="Q126" s="205"/>
      <c r="R126" s="448" t="s">
        <v>196</v>
      </c>
      <c r="S126" s="449"/>
      <c r="T126" s="261" t="s">
        <v>372</v>
      </c>
      <c r="U126" s="221"/>
      <c r="V126" s="222" t="s">
        <v>372</v>
      </c>
      <c r="W126" s="223"/>
      <c r="X126" s="204"/>
      <c r="Y126" s="205"/>
      <c r="Z126" s="214"/>
      <c r="AA126" s="205"/>
      <c r="AB126" s="214" t="s">
        <v>372</v>
      </c>
      <c r="AC126" s="205"/>
      <c r="AD126" s="214"/>
      <c r="AE126" s="204"/>
      <c r="AF126" s="156" t="s">
        <v>341</v>
      </c>
      <c r="AG126" s="109" t="s">
        <v>341</v>
      </c>
      <c r="AH126" s="110"/>
      <c r="AI126" s="156" t="s">
        <v>343</v>
      </c>
      <c r="AJ126" s="109" t="s">
        <v>343</v>
      </c>
      <c r="AK126" s="110"/>
      <c r="AL126" s="156" t="s">
        <v>341</v>
      </c>
      <c r="AM126" s="109" t="s">
        <v>341</v>
      </c>
      <c r="AN126" s="110"/>
      <c r="AO126" s="156" t="s">
        <v>343</v>
      </c>
      <c r="AP126" s="109" t="s">
        <v>343</v>
      </c>
      <c r="AQ126" s="110"/>
      <c r="AR126" s="156" t="s">
        <v>342</v>
      </c>
      <c r="AS126" s="109" t="s">
        <v>342</v>
      </c>
      <c r="AT126" s="110"/>
      <c r="AU126" s="156" t="s">
        <v>340</v>
      </c>
      <c r="AV126" s="109" t="s">
        <v>340</v>
      </c>
      <c r="AW126" s="110"/>
      <c r="AX126" s="156"/>
      <c r="AY126" s="109"/>
      <c r="AZ126" s="94"/>
      <c r="BA126" s="86"/>
      <c r="BB126" s="87"/>
      <c r="BC126" s="94"/>
      <c r="BD126" s="418"/>
      <c r="BE126" s="419"/>
      <c r="BF126" s="244" t="s">
        <v>285</v>
      </c>
      <c r="BG126" s="245"/>
      <c r="BH126" s="245"/>
      <c r="BI126" s="246"/>
      <c r="BK126" s="1"/>
      <c r="BL126" s="1"/>
      <c r="BM126" s="1"/>
      <c r="BN126" s="1"/>
      <c r="BO126" s="1"/>
    </row>
    <row r="127" spans="1:67" s="6" customFormat="1" ht="30" customHeight="1" thickBot="1">
      <c r="A127" s="441" t="s">
        <v>129</v>
      </c>
      <c r="B127" s="442"/>
      <c r="C127" s="442"/>
      <c r="D127" s="442"/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  <c r="S127" s="443"/>
      <c r="T127" s="341">
        <f>T33+T89</f>
        <v>7774.26692</v>
      </c>
      <c r="U127" s="345"/>
      <c r="V127" s="343">
        <f>V33+V89</f>
        <v>3809.67</v>
      </c>
      <c r="W127" s="344"/>
      <c r="X127" s="444">
        <f>SUM(X33,X89)</f>
        <v>2119.94</v>
      </c>
      <c r="Y127" s="445"/>
      <c r="Z127" s="445">
        <f>SUM(Z33,Z89)</f>
        <v>835.8299999999999</v>
      </c>
      <c r="AA127" s="445"/>
      <c r="AB127" s="445">
        <f>SUM(AB33,AB89)</f>
        <v>742.02</v>
      </c>
      <c r="AC127" s="445"/>
      <c r="AD127" s="445">
        <f>SUM(AD33,AD89)</f>
        <v>112</v>
      </c>
      <c r="AE127" s="450"/>
      <c r="AF127" s="157">
        <f aca="true" t="shared" si="5" ref="AF127:BD127">AF33+AF89</f>
        <v>1115.95572</v>
      </c>
      <c r="AG127" s="157">
        <f t="shared" si="5"/>
        <v>531.895</v>
      </c>
      <c r="AH127" s="158">
        <f t="shared" si="5"/>
        <v>30.00389880917536</v>
      </c>
      <c r="AI127" s="157">
        <f t="shared" si="5"/>
        <v>974.025</v>
      </c>
      <c r="AJ127" s="157">
        <f t="shared" si="5"/>
        <v>493.975</v>
      </c>
      <c r="AK127" s="158">
        <f t="shared" si="5"/>
        <v>27.002540399428504</v>
      </c>
      <c r="AL127" s="158">
        <f t="shared" si="5"/>
        <v>1104.1799999999998</v>
      </c>
      <c r="AM127" s="157">
        <f t="shared" si="5"/>
        <v>538</v>
      </c>
      <c r="AN127" s="158">
        <f t="shared" si="5"/>
        <v>30.006617859280396</v>
      </c>
      <c r="AO127" s="158">
        <f t="shared" si="5"/>
        <v>982.048</v>
      </c>
      <c r="AP127" s="157">
        <f t="shared" si="5"/>
        <v>498</v>
      </c>
      <c r="AQ127" s="158">
        <f t="shared" si="5"/>
        <v>24.00162446781245</v>
      </c>
      <c r="AR127" s="157">
        <f t="shared" si="5"/>
        <v>1100.1021999999998</v>
      </c>
      <c r="AS127" s="157">
        <f t="shared" si="5"/>
        <v>523.8</v>
      </c>
      <c r="AT127" s="158">
        <f t="shared" si="5"/>
        <v>29.993309754300455</v>
      </c>
      <c r="AU127" s="157">
        <f t="shared" si="5"/>
        <v>996</v>
      </c>
      <c r="AV127" s="157">
        <f t="shared" si="5"/>
        <v>496</v>
      </c>
      <c r="AW127" s="158">
        <f t="shared" si="5"/>
        <v>24.01264973518323</v>
      </c>
      <c r="AX127" s="158">
        <f t="shared" si="5"/>
        <v>1025.9560000000001</v>
      </c>
      <c r="AY127" s="157">
        <f t="shared" si="5"/>
        <v>498</v>
      </c>
      <c r="AZ127" s="158">
        <f t="shared" si="5"/>
        <v>29.99835897435898</v>
      </c>
      <c r="BA127" s="157">
        <f t="shared" si="5"/>
        <v>476</v>
      </c>
      <c r="BB127" s="157">
        <f t="shared" si="5"/>
        <v>230</v>
      </c>
      <c r="BC127" s="158">
        <f t="shared" si="5"/>
        <v>13.004603722665399</v>
      </c>
      <c r="BD127" s="341">
        <f t="shared" si="5"/>
        <v>208.02654489867535</v>
      </c>
      <c r="BE127" s="451"/>
      <c r="BF127" s="452"/>
      <c r="BG127" s="421"/>
      <c r="BH127" s="421"/>
      <c r="BI127" s="453"/>
      <c r="BJ127" s="97"/>
      <c r="BK127" s="1"/>
      <c r="BL127" s="1"/>
      <c r="BM127" s="1"/>
      <c r="BN127" s="1"/>
      <c r="BO127" s="1"/>
    </row>
    <row r="128" spans="1:67" s="6" customFormat="1" ht="30" customHeight="1" hidden="1" thickBot="1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1"/>
      <c r="U128" s="162"/>
      <c r="V128" s="163"/>
      <c r="W128" s="164"/>
      <c r="X128" s="165"/>
      <c r="Y128" s="162"/>
      <c r="Z128" s="166"/>
      <c r="AA128" s="167"/>
      <c r="AB128" s="166"/>
      <c r="AC128" s="167"/>
      <c r="AD128" s="166"/>
      <c r="AE128" s="168"/>
      <c r="AF128" s="161">
        <f>54*17+36*AF133</f>
        <v>1062</v>
      </c>
      <c r="AG128" s="165">
        <f>32*17</f>
        <v>544</v>
      </c>
      <c r="AH128" s="164">
        <v>30</v>
      </c>
      <c r="AI128" s="161">
        <f>54*16+36*AI133</f>
        <v>1008</v>
      </c>
      <c r="AJ128" s="165">
        <f>32*16</f>
        <v>512</v>
      </c>
      <c r="AK128" s="164">
        <v>27</v>
      </c>
      <c r="AL128" s="161">
        <f>54*17+36*AL133</f>
        <v>1062</v>
      </c>
      <c r="AM128" s="165">
        <f>32*17</f>
        <v>544</v>
      </c>
      <c r="AN128" s="164">
        <v>30</v>
      </c>
      <c r="AO128" s="161">
        <f>54*16+36*AO133</f>
        <v>1008</v>
      </c>
      <c r="AP128" s="165">
        <f>32*16</f>
        <v>512</v>
      </c>
      <c r="AQ128" s="164">
        <v>24</v>
      </c>
      <c r="AR128" s="161">
        <f>54*17+36*AR133</f>
        <v>1062</v>
      </c>
      <c r="AS128" s="165">
        <f>32*17</f>
        <v>544</v>
      </c>
      <c r="AT128" s="164">
        <v>30</v>
      </c>
      <c r="AU128" s="161">
        <f>54*16+36*AU133</f>
        <v>1008</v>
      </c>
      <c r="AV128" s="165">
        <f>32*16</f>
        <v>512</v>
      </c>
      <c r="AW128" s="164">
        <v>24</v>
      </c>
      <c r="AX128" s="161">
        <f>54*16+36*AX133</f>
        <v>1044</v>
      </c>
      <c r="AY128" s="165">
        <f>30*16</f>
        <v>480</v>
      </c>
      <c r="AZ128" s="164">
        <v>30</v>
      </c>
      <c r="BA128" s="161">
        <f>54*8+36*BA133</f>
        <v>504</v>
      </c>
      <c r="BB128" s="165">
        <f>30*8</f>
        <v>240</v>
      </c>
      <c r="BC128" s="169">
        <v>12</v>
      </c>
      <c r="BD128" s="454">
        <f>SUM(AH127,AK127,AN127,AQ127,AT127,AW127,AZ127,BC127)</f>
        <v>208.02360372220477</v>
      </c>
      <c r="BE128" s="455"/>
      <c r="BF128" s="456">
        <f>SUM(AH128,AK128,AN128,AQ128,AT128,AW128,AZ128,BC128)</f>
        <v>207</v>
      </c>
      <c r="BG128" s="421"/>
      <c r="BH128" s="170"/>
      <c r="BI128" s="171"/>
      <c r="BK128" s="1"/>
      <c r="BL128" s="1"/>
      <c r="BM128" s="1"/>
      <c r="BN128" s="1"/>
      <c r="BO128" s="1"/>
    </row>
    <row r="129" spans="1:67" s="6" customFormat="1" ht="30" customHeight="1" hidden="1" thickBot="1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1"/>
      <c r="U129" s="162"/>
      <c r="V129" s="163"/>
      <c r="W129" s="164"/>
      <c r="X129" s="165"/>
      <c r="Y129" s="162"/>
      <c r="Z129" s="166"/>
      <c r="AA129" s="167"/>
      <c r="AB129" s="166"/>
      <c r="AC129" s="167"/>
      <c r="AD129" s="166"/>
      <c r="AE129" s="168"/>
      <c r="AF129" s="161"/>
      <c r="AG129" s="165">
        <f>AG127/17</f>
        <v>31.287941176470586</v>
      </c>
      <c r="AH129" s="164"/>
      <c r="AI129" s="161"/>
      <c r="AJ129" s="172">
        <f>AJ127/16</f>
        <v>30.8734375</v>
      </c>
      <c r="AK129" s="164"/>
      <c r="AL129" s="161"/>
      <c r="AM129" s="165">
        <f>AM127/17</f>
        <v>31.647058823529413</v>
      </c>
      <c r="AN129" s="164"/>
      <c r="AO129" s="161"/>
      <c r="AP129" s="172">
        <f>AP127/16</f>
        <v>31.125</v>
      </c>
      <c r="AQ129" s="164"/>
      <c r="AR129" s="161"/>
      <c r="AS129" s="172">
        <f>AS127/17</f>
        <v>30.81176470588235</v>
      </c>
      <c r="AT129" s="164"/>
      <c r="AU129" s="161"/>
      <c r="AV129" s="172">
        <f>AV127/16</f>
        <v>31</v>
      </c>
      <c r="AW129" s="164"/>
      <c r="AX129" s="161"/>
      <c r="AY129" s="173">
        <f>AY127/16</f>
        <v>31.125</v>
      </c>
      <c r="AZ129" s="164"/>
      <c r="BA129" s="161"/>
      <c r="BB129" s="172">
        <f>BB127/8</f>
        <v>28.75</v>
      </c>
      <c r="BC129" s="164"/>
      <c r="BD129" s="458">
        <f>BD128+15+6+6+3+3</f>
        <v>241.02360372220477</v>
      </c>
      <c r="BE129" s="459"/>
      <c r="BF129" s="458">
        <f>BF128+15+6+6+3+3</f>
        <v>240</v>
      </c>
      <c r="BG129" s="459"/>
      <c r="BH129" s="170"/>
      <c r="BI129" s="171"/>
      <c r="BK129" s="1"/>
      <c r="BL129" s="1"/>
      <c r="BM129" s="1"/>
      <c r="BN129" s="1"/>
      <c r="BO129" s="1"/>
    </row>
    <row r="130" spans="1:67" s="6" customFormat="1" ht="33" customHeight="1">
      <c r="A130" s="209" t="s">
        <v>19</v>
      </c>
      <c r="B130" s="460"/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1"/>
      <c r="U130" s="462"/>
      <c r="V130" s="463"/>
      <c r="W130" s="257"/>
      <c r="X130" s="449"/>
      <c r="Y130" s="462"/>
      <c r="Z130" s="463"/>
      <c r="AA130" s="462"/>
      <c r="AB130" s="463"/>
      <c r="AC130" s="462"/>
      <c r="AD130" s="463"/>
      <c r="AE130" s="449"/>
      <c r="AF130" s="241">
        <f>AG127/H18</f>
        <v>31.287941176470586</v>
      </c>
      <c r="AG130" s="457"/>
      <c r="AH130" s="242"/>
      <c r="AI130" s="241">
        <f>AJ127/AC18</f>
        <v>30.8734375</v>
      </c>
      <c r="AJ130" s="457"/>
      <c r="AK130" s="242"/>
      <c r="AL130" s="241">
        <f>AM127/H19</f>
        <v>31.647058823529413</v>
      </c>
      <c r="AM130" s="457"/>
      <c r="AN130" s="242"/>
      <c r="AO130" s="241">
        <f>AP127/AC19</f>
        <v>31.125</v>
      </c>
      <c r="AP130" s="457"/>
      <c r="AQ130" s="242"/>
      <c r="AR130" s="241">
        <f>AS127/H20</f>
        <v>30.81176470588235</v>
      </c>
      <c r="AS130" s="457"/>
      <c r="AT130" s="242"/>
      <c r="AU130" s="241">
        <f>AV127/AC20</f>
        <v>31</v>
      </c>
      <c r="AV130" s="457"/>
      <c r="AW130" s="242"/>
      <c r="AX130" s="241">
        <f>AY127/H21</f>
        <v>31.125</v>
      </c>
      <c r="AY130" s="457"/>
      <c r="AZ130" s="242"/>
      <c r="BA130" s="241">
        <f>BB127/AC21</f>
        <v>28.75</v>
      </c>
      <c r="BB130" s="457"/>
      <c r="BC130" s="242"/>
      <c r="BD130" s="461"/>
      <c r="BE130" s="257"/>
      <c r="BF130" s="464"/>
      <c r="BG130" s="465"/>
      <c r="BH130" s="465"/>
      <c r="BI130" s="440"/>
      <c r="BK130" s="1"/>
      <c r="BL130" s="1"/>
      <c r="BM130" s="1"/>
      <c r="BN130" s="1"/>
      <c r="BO130" s="1"/>
    </row>
    <row r="131" spans="1:67" s="6" customFormat="1" ht="31.5" customHeight="1">
      <c r="A131" s="209" t="s">
        <v>20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260">
        <f>AF131+AI131+AL131+AO131+AR131+AU131+AX131+BA131</f>
        <v>5</v>
      </c>
      <c r="U131" s="205"/>
      <c r="V131" s="214"/>
      <c r="W131" s="215"/>
      <c r="X131" s="204"/>
      <c r="Y131" s="205"/>
      <c r="Z131" s="214"/>
      <c r="AA131" s="205"/>
      <c r="AB131" s="214"/>
      <c r="AC131" s="205"/>
      <c r="AD131" s="214"/>
      <c r="AE131" s="204"/>
      <c r="AF131" s="260"/>
      <c r="AG131" s="204"/>
      <c r="AH131" s="215"/>
      <c r="AI131" s="260"/>
      <c r="AJ131" s="204"/>
      <c r="AK131" s="215"/>
      <c r="AL131" s="260">
        <v>1</v>
      </c>
      <c r="AM131" s="204"/>
      <c r="AN131" s="215"/>
      <c r="AO131" s="261">
        <v>1</v>
      </c>
      <c r="AP131" s="281"/>
      <c r="AQ131" s="223"/>
      <c r="AR131" s="260">
        <v>1</v>
      </c>
      <c r="AS131" s="204"/>
      <c r="AT131" s="215"/>
      <c r="AU131" s="260">
        <v>1</v>
      </c>
      <c r="AV131" s="204"/>
      <c r="AW131" s="215"/>
      <c r="AX131" s="260">
        <v>1</v>
      </c>
      <c r="AY131" s="204"/>
      <c r="AZ131" s="215"/>
      <c r="BA131" s="260"/>
      <c r="BB131" s="204"/>
      <c r="BC131" s="215"/>
      <c r="BD131" s="260"/>
      <c r="BE131" s="215"/>
      <c r="BF131" s="260"/>
      <c r="BG131" s="204"/>
      <c r="BH131" s="204"/>
      <c r="BI131" s="215"/>
      <c r="BK131" s="1"/>
      <c r="BL131" s="1"/>
      <c r="BM131" s="1"/>
      <c r="BN131" s="1"/>
      <c r="BO131" s="1"/>
    </row>
    <row r="132" spans="1:67" s="6" customFormat="1" ht="30" customHeight="1">
      <c r="A132" s="468" t="s">
        <v>2</v>
      </c>
      <c r="B132" s="469"/>
      <c r="C132" s="469"/>
      <c r="D132" s="469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  <c r="T132" s="466">
        <f>AF132+AI132+AL132+AO132+AR132+AU132+AX132+BA132</f>
        <v>8</v>
      </c>
      <c r="U132" s="470"/>
      <c r="V132" s="287"/>
      <c r="W132" s="467"/>
      <c r="X132" s="471"/>
      <c r="Y132" s="470"/>
      <c r="Z132" s="287"/>
      <c r="AA132" s="470"/>
      <c r="AB132" s="287"/>
      <c r="AC132" s="470"/>
      <c r="AD132" s="287"/>
      <c r="AE132" s="471"/>
      <c r="AF132" s="466">
        <v>1</v>
      </c>
      <c r="AG132" s="471"/>
      <c r="AH132" s="467"/>
      <c r="AI132" s="466"/>
      <c r="AJ132" s="471"/>
      <c r="AK132" s="467"/>
      <c r="AL132" s="466">
        <v>1</v>
      </c>
      <c r="AM132" s="471"/>
      <c r="AN132" s="467"/>
      <c r="AO132" s="466">
        <v>1</v>
      </c>
      <c r="AP132" s="471"/>
      <c r="AQ132" s="467"/>
      <c r="AR132" s="466">
        <v>1</v>
      </c>
      <c r="AS132" s="471"/>
      <c r="AT132" s="467"/>
      <c r="AU132" s="466">
        <v>1</v>
      </c>
      <c r="AV132" s="471"/>
      <c r="AW132" s="467"/>
      <c r="AX132" s="466">
        <v>2</v>
      </c>
      <c r="AY132" s="471"/>
      <c r="AZ132" s="467"/>
      <c r="BA132" s="466">
        <v>1</v>
      </c>
      <c r="BB132" s="471"/>
      <c r="BC132" s="467"/>
      <c r="BD132" s="466"/>
      <c r="BE132" s="467"/>
      <c r="BF132" s="466"/>
      <c r="BG132" s="471"/>
      <c r="BH132" s="471"/>
      <c r="BI132" s="467"/>
      <c r="BK132" s="1"/>
      <c r="BL132" s="1"/>
      <c r="BM132" s="1"/>
      <c r="BN132" s="1"/>
      <c r="BO132" s="1"/>
    </row>
    <row r="133" spans="1:67" s="6" customFormat="1" ht="30" customHeight="1">
      <c r="A133" s="468" t="s">
        <v>21</v>
      </c>
      <c r="B133" s="469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  <c r="R133" s="469"/>
      <c r="S133" s="469"/>
      <c r="T133" s="466">
        <f>AF133+AI133+AL133+AO133+AR133+AU133+AX133+BA133</f>
        <v>31</v>
      </c>
      <c r="U133" s="470"/>
      <c r="V133" s="287"/>
      <c r="W133" s="467"/>
      <c r="X133" s="471"/>
      <c r="Y133" s="470"/>
      <c r="Z133" s="287"/>
      <c r="AA133" s="470"/>
      <c r="AB133" s="287"/>
      <c r="AC133" s="470"/>
      <c r="AD133" s="287"/>
      <c r="AE133" s="471"/>
      <c r="AF133" s="466">
        <v>4</v>
      </c>
      <c r="AG133" s="471"/>
      <c r="AH133" s="467"/>
      <c r="AI133" s="466">
        <v>4</v>
      </c>
      <c r="AJ133" s="471"/>
      <c r="AK133" s="467"/>
      <c r="AL133" s="466">
        <v>4</v>
      </c>
      <c r="AM133" s="471"/>
      <c r="AN133" s="467"/>
      <c r="AO133" s="466">
        <v>4</v>
      </c>
      <c r="AP133" s="471"/>
      <c r="AQ133" s="467"/>
      <c r="AR133" s="466">
        <v>4</v>
      </c>
      <c r="AS133" s="471"/>
      <c r="AT133" s="467"/>
      <c r="AU133" s="466">
        <v>4</v>
      </c>
      <c r="AV133" s="471"/>
      <c r="AW133" s="467"/>
      <c r="AX133" s="466">
        <v>5</v>
      </c>
      <c r="AY133" s="471"/>
      <c r="AZ133" s="467"/>
      <c r="BA133" s="466">
        <v>2</v>
      </c>
      <c r="BB133" s="471"/>
      <c r="BC133" s="467"/>
      <c r="BD133" s="466"/>
      <c r="BE133" s="467"/>
      <c r="BF133" s="466"/>
      <c r="BG133" s="471"/>
      <c r="BH133" s="471"/>
      <c r="BI133" s="467"/>
      <c r="BK133" s="1"/>
      <c r="BL133" s="1"/>
      <c r="BM133" s="1"/>
      <c r="BN133" s="1"/>
      <c r="BO133" s="1"/>
    </row>
    <row r="134" spans="1:67" s="6" customFormat="1" ht="30" customHeight="1" thickBot="1">
      <c r="A134" s="475" t="s">
        <v>22</v>
      </c>
      <c r="B134" s="476"/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  <c r="Q134" s="476"/>
      <c r="R134" s="476"/>
      <c r="S134" s="476"/>
      <c r="T134" s="472">
        <f>AF134+AI134+AL134+AO134+AR134+AU134+AX134+BA134</f>
        <v>28</v>
      </c>
      <c r="U134" s="473"/>
      <c r="V134" s="477"/>
      <c r="W134" s="474"/>
      <c r="X134" s="473"/>
      <c r="Y134" s="478"/>
      <c r="Z134" s="477"/>
      <c r="AA134" s="478"/>
      <c r="AB134" s="477"/>
      <c r="AC134" s="478"/>
      <c r="AD134" s="477"/>
      <c r="AE134" s="473"/>
      <c r="AF134" s="472">
        <v>3</v>
      </c>
      <c r="AG134" s="473"/>
      <c r="AH134" s="474"/>
      <c r="AI134" s="472">
        <v>3</v>
      </c>
      <c r="AJ134" s="473"/>
      <c r="AK134" s="474"/>
      <c r="AL134" s="472">
        <v>6</v>
      </c>
      <c r="AM134" s="473"/>
      <c r="AN134" s="474"/>
      <c r="AO134" s="472">
        <v>3</v>
      </c>
      <c r="AP134" s="473"/>
      <c r="AQ134" s="474"/>
      <c r="AR134" s="472">
        <v>5</v>
      </c>
      <c r="AS134" s="473"/>
      <c r="AT134" s="474"/>
      <c r="AU134" s="472">
        <v>3</v>
      </c>
      <c r="AV134" s="473"/>
      <c r="AW134" s="474"/>
      <c r="AX134" s="472">
        <v>3</v>
      </c>
      <c r="AY134" s="473"/>
      <c r="AZ134" s="474"/>
      <c r="BA134" s="472">
        <v>2</v>
      </c>
      <c r="BB134" s="473"/>
      <c r="BC134" s="474"/>
      <c r="BD134" s="472"/>
      <c r="BE134" s="474"/>
      <c r="BF134" s="472"/>
      <c r="BG134" s="473"/>
      <c r="BH134" s="473"/>
      <c r="BI134" s="474"/>
      <c r="BK134" s="1"/>
      <c r="BL134" s="1"/>
      <c r="BM134" s="1"/>
      <c r="BN134" s="1"/>
      <c r="BO134" s="1"/>
    </row>
    <row r="135" spans="1:67" s="6" customFormat="1" ht="30" customHeight="1" thickBo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4"/>
      <c r="BG135" s="14"/>
      <c r="BH135" s="14"/>
      <c r="BI135" s="14"/>
      <c r="BK135" s="1"/>
      <c r="BL135" s="1"/>
      <c r="BM135" s="1"/>
      <c r="BN135" s="1"/>
      <c r="BO135" s="1"/>
    </row>
    <row r="136" spans="1:67" s="6" customFormat="1" ht="38.25" customHeight="1">
      <c r="A136" s="488" t="s">
        <v>69</v>
      </c>
      <c r="B136" s="489"/>
      <c r="C136" s="489"/>
      <c r="D136" s="489"/>
      <c r="E136" s="489"/>
      <c r="F136" s="489"/>
      <c r="G136" s="489"/>
      <c r="H136" s="489"/>
      <c r="I136" s="489"/>
      <c r="J136" s="489"/>
      <c r="K136" s="489"/>
      <c r="L136" s="489"/>
      <c r="M136" s="489"/>
      <c r="N136" s="489"/>
      <c r="O136" s="489"/>
      <c r="P136" s="490"/>
      <c r="Q136" s="488" t="s">
        <v>101</v>
      </c>
      <c r="R136" s="489"/>
      <c r="S136" s="489"/>
      <c r="T136" s="489"/>
      <c r="U136" s="489"/>
      <c r="V136" s="489"/>
      <c r="W136" s="489"/>
      <c r="X136" s="489"/>
      <c r="Y136" s="489"/>
      <c r="Z136" s="489"/>
      <c r="AA136" s="489"/>
      <c r="AB136" s="489"/>
      <c r="AC136" s="489"/>
      <c r="AD136" s="489"/>
      <c r="AE136" s="490"/>
      <c r="AF136" s="494" t="s">
        <v>68</v>
      </c>
      <c r="AG136" s="495"/>
      <c r="AH136" s="495"/>
      <c r="AI136" s="495"/>
      <c r="AJ136" s="495"/>
      <c r="AK136" s="495"/>
      <c r="AL136" s="495"/>
      <c r="AM136" s="495"/>
      <c r="AN136" s="495"/>
      <c r="AO136" s="495"/>
      <c r="AP136" s="495"/>
      <c r="AQ136" s="495"/>
      <c r="AR136" s="495"/>
      <c r="AS136" s="495"/>
      <c r="AT136" s="496"/>
      <c r="AU136" s="494" t="s">
        <v>67</v>
      </c>
      <c r="AV136" s="495"/>
      <c r="AW136" s="495"/>
      <c r="AX136" s="495"/>
      <c r="AY136" s="495"/>
      <c r="AZ136" s="495"/>
      <c r="BA136" s="495"/>
      <c r="BB136" s="495"/>
      <c r="BC136" s="495"/>
      <c r="BD136" s="495"/>
      <c r="BE136" s="495"/>
      <c r="BF136" s="495"/>
      <c r="BG136" s="495"/>
      <c r="BH136" s="495"/>
      <c r="BI136" s="496"/>
      <c r="BK136" s="1"/>
      <c r="BL136" s="1"/>
      <c r="BM136" s="1"/>
      <c r="BN136" s="1"/>
      <c r="BO136" s="1"/>
    </row>
    <row r="137" spans="1:67" s="6" customFormat="1" ht="54" customHeight="1">
      <c r="A137" s="479" t="s">
        <v>30</v>
      </c>
      <c r="B137" s="480"/>
      <c r="C137" s="480"/>
      <c r="D137" s="480"/>
      <c r="E137" s="480"/>
      <c r="F137" s="480"/>
      <c r="G137" s="481"/>
      <c r="H137" s="482" t="s">
        <v>29</v>
      </c>
      <c r="I137" s="482"/>
      <c r="J137" s="482"/>
      <c r="K137" s="482" t="s">
        <v>31</v>
      </c>
      <c r="L137" s="482"/>
      <c r="M137" s="482"/>
      <c r="N137" s="483" t="s">
        <v>102</v>
      </c>
      <c r="O137" s="482"/>
      <c r="P137" s="484"/>
      <c r="Q137" s="485" t="s">
        <v>30</v>
      </c>
      <c r="R137" s="486"/>
      <c r="S137" s="486"/>
      <c r="T137" s="486"/>
      <c r="U137" s="486"/>
      <c r="V137" s="487"/>
      <c r="W137" s="482" t="s">
        <v>29</v>
      </c>
      <c r="X137" s="482"/>
      <c r="Y137" s="482"/>
      <c r="Z137" s="482" t="s">
        <v>31</v>
      </c>
      <c r="AA137" s="482"/>
      <c r="AB137" s="482"/>
      <c r="AC137" s="483" t="s">
        <v>407</v>
      </c>
      <c r="AD137" s="482"/>
      <c r="AE137" s="484"/>
      <c r="AF137" s="189" t="s">
        <v>29</v>
      </c>
      <c r="AG137" s="190"/>
      <c r="AH137" s="190"/>
      <c r="AI137" s="190"/>
      <c r="AJ137" s="191"/>
      <c r="AK137" s="491" t="s">
        <v>31</v>
      </c>
      <c r="AL137" s="480"/>
      <c r="AM137" s="480"/>
      <c r="AN137" s="480"/>
      <c r="AO137" s="481"/>
      <c r="AP137" s="492" t="s">
        <v>102</v>
      </c>
      <c r="AQ137" s="480"/>
      <c r="AR137" s="480"/>
      <c r="AS137" s="480"/>
      <c r="AT137" s="493"/>
      <c r="AU137" s="189" t="s">
        <v>194</v>
      </c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428"/>
      <c r="BK137" s="1"/>
      <c r="BL137" s="1"/>
      <c r="BM137" s="1"/>
      <c r="BN137" s="1"/>
      <c r="BO137" s="1"/>
    </row>
    <row r="138" spans="1:67" s="6" customFormat="1" ht="27" customHeight="1">
      <c r="A138" s="189" t="s">
        <v>190</v>
      </c>
      <c r="B138" s="190"/>
      <c r="C138" s="190"/>
      <c r="D138" s="190"/>
      <c r="E138" s="190"/>
      <c r="F138" s="190"/>
      <c r="G138" s="191"/>
      <c r="H138" s="198">
        <v>2</v>
      </c>
      <c r="I138" s="190"/>
      <c r="J138" s="191"/>
      <c r="K138" s="198">
        <v>2</v>
      </c>
      <c r="L138" s="190"/>
      <c r="M138" s="191"/>
      <c r="N138" s="198">
        <v>3</v>
      </c>
      <c r="O138" s="190"/>
      <c r="P138" s="428"/>
      <c r="Q138" s="497" t="s">
        <v>191</v>
      </c>
      <c r="R138" s="498"/>
      <c r="S138" s="498"/>
      <c r="T138" s="498"/>
      <c r="U138" s="498"/>
      <c r="V138" s="499"/>
      <c r="W138" s="491">
        <v>4</v>
      </c>
      <c r="X138" s="480"/>
      <c r="Y138" s="481"/>
      <c r="Z138" s="491">
        <v>4</v>
      </c>
      <c r="AA138" s="480"/>
      <c r="AB138" s="481"/>
      <c r="AC138" s="491">
        <v>6</v>
      </c>
      <c r="AD138" s="480"/>
      <c r="AE138" s="493"/>
      <c r="AF138" s="189">
        <v>8</v>
      </c>
      <c r="AG138" s="190"/>
      <c r="AH138" s="190"/>
      <c r="AI138" s="190"/>
      <c r="AJ138" s="191"/>
      <c r="AK138" s="198">
        <v>10</v>
      </c>
      <c r="AL138" s="190"/>
      <c r="AM138" s="190"/>
      <c r="AN138" s="190"/>
      <c r="AO138" s="191"/>
      <c r="AP138" s="198">
        <v>14</v>
      </c>
      <c r="AQ138" s="190"/>
      <c r="AR138" s="190"/>
      <c r="AS138" s="190"/>
      <c r="AT138" s="428"/>
      <c r="AU138" s="192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429"/>
      <c r="BK138" s="1"/>
      <c r="BL138" s="1"/>
      <c r="BM138" s="1"/>
      <c r="BN138" s="1"/>
      <c r="BO138" s="1"/>
    </row>
    <row r="139" spans="1:67" s="6" customFormat="1" ht="54.75" customHeight="1">
      <c r="A139" s="192"/>
      <c r="B139" s="193"/>
      <c r="C139" s="193"/>
      <c r="D139" s="193"/>
      <c r="E139" s="193"/>
      <c r="F139" s="193"/>
      <c r="G139" s="194"/>
      <c r="H139" s="199"/>
      <c r="I139" s="193"/>
      <c r="J139" s="194"/>
      <c r="K139" s="199"/>
      <c r="L139" s="193"/>
      <c r="M139" s="194"/>
      <c r="N139" s="199"/>
      <c r="O139" s="193"/>
      <c r="P139" s="429"/>
      <c r="Q139" s="497" t="s">
        <v>192</v>
      </c>
      <c r="R139" s="498"/>
      <c r="S139" s="498"/>
      <c r="T139" s="498"/>
      <c r="U139" s="498"/>
      <c r="V139" s="499"/>
      <c r="W139" s="491">
        <v>6</v>
      </c>
      <c r="X139" s="480"/>
      <c r="Y139" s="481"/>
      <c r="Z139" s="491">
        <v>4</v>
      </c>
      <c r="AA139" s="480"/>
      <c r="AB139" s="481"/>
      <c r="AC139" s="491">
        <v>6</v>
      </c>
      <c r="AD139" s="480"/>
      <c r="AE139" s="493"/>
      <c r="AF139" s="192"/>
      <c r="AG139" s="193"/>
      <c r="AH139" s="193"/>
      <c r="AI139" s="193"/>
      <c r="AJ139" s="194"/>
      <c r="AK139" s="199"/>
      <c r="AL139" s="193"/>
      <c r="AM139" s="193"/>
      <c r="AN139" s="193"/>
      <c r="AO139" s="194"/>
      <c r="AP139" s="199"/>
      <c r="AQ139" s="193"/>
      <c r="AR139" s="193"/>
      <c r="AS139" s="193"/>
      <c r="AT139" s="429"/>
      <c r="AU139" s="192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429"/>
      <c r="BK139" s="1"/>
      <c r="BL139" s="1"/>
      <c r="BM139" s="1"/>
      <c r="BN139" s="1"/>
      <c r="BO139" s="1"/>
    </row>
    <row r="140" spans="1:67" s="6" customFormat="1" ht="27" customHeight="1" thickBot="1">
      <c r="A140" s="195"/>
      <c r="B140" s="196"/>
      <c r="C140" s="196"/>
      <c r="D140" s="196"/>
      <c r="E140" s="196"/>
      <c r="F140" s="196"/>
      <c r="G140" s="197"/>
      <c r="H140" s="200"/>
      <c r="I140" s="196"/>
      <c r="J140" s="197"/>
      <c r="K140" s="200"/>
      <c r="L140" s="196"/>
      <c r="M140" s="197"/>
      <c r="N140" s="200"/>
      <c r="O140" s="196"/>
      <c r="P140" s="430"/>
      <c r="Q140" s="512" t="s">
        <v>193</v>
      </c>
      <c r="R140" s="513"/>
      <c r="S140" s="513"/>
      <c r="T140" s="513"/>
      <c r="U140" s="513"/>
      <c r="V140" s="514"/>
      <c r="W140" s="502">
        <v>8</v>
      </c>
      <c r="X140" s="503"/>
      <c r="Y140" s="504"/>
      <c r="Z140" s="502">
        <v>2</v>
      </c>
      <c r="AA140" s="503"/>
      <c r="AB140" s="504"/>
      <c r="AC140" s="502">
        <v>3</v>
      </c>
      <c r="AD140" s="503"/>
      <c r="AE140" s="505"/>
      <c r="AF140" s="195"/>
      <c r="AG140" s="196"/>
      <c r="AH140" s="196"/>
      <c r="AI140" s="196"/>
      <c r="AJ140" s="197"/>
      <c r="AK140" s="200"/>
      <c r="AL140" s="196"/>
      <c r="AM140" s="196"/>
      <c r="AN140" s="196"/>
      <c r="AO140" s="197"/>
      <c r="AP140" s="200"/>
      <c r="AQ140" s="196"/>
      <c r="AR140" s="196"/>
      <c r="AS140" s="196"/>
      <c r="AT140" s="430"/>
      <c r="AU140" s="195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430"/>
      <c r="BK140" s="1"/>
      <c r="BL140" s="1"/>
      <c r="BM140" s="1"/>
      <c r="BN140" s="1"/>
      <c r="BO140" s="1"/>
    </row>
    <row r="141" spans="1:67" s="6" customFormat="1" ht="32.25" customHeight="1">
      <c r="A141" s="548"/>
      <c r="B141" s="548"/>
      <c r="C141" s="548"/>
      <c r="D141" s="548"/>
      <c r="E141" s="548"/>
      <c r="F141" s="548"/>
      <c r="G141" s="548"/>
      <c r="H141" s="548"/>
      <c r="I141" s="548"/>
      <c r="J141" s="548"/>
      <c r="K141" s="427"/>
      <c r="L141" s="427"/>
      <c r="M141" s="427"/>
      <c r="N141" s="548"/>
      <c r="O141" s="548"/>
      <c r="P141" s="548"/>
      <c r="Q141" s="548"/>
      <c r="R141" s="548"/>
      <c r="S141" s="548"/>
      <c r="T141" s="548"/>
      <c r="U141" s="548"/>
      <c r="V141" s="548"/>
      <c r="W141" s="548"/>
      <c r="X141" s="548"/>
      <c r="Y141" s="548"/>
      <c r="Z141" s="548"/>
      <c r="AA141" s="548"/>
      <c r="AB141" s="548"/>
      <c r="AC141" s="548"/>
      <c r="AD141" s="548"/>
      <c r="AE141" s="548"/>
      <c r="AF141" s="548"/>
      <c r="AG141" s="548"/>
      <c r="AH141" s="548"/>
      <c r="AI141" s="548"/>
      <c r="AJ141" s="548"/>
      <c r="AK141" s="548"/>
      <c r="AL141" s="548"/>
      <c r="AM141" s="548"/>
      <c r="AN141" s="548"/>
      <c r="AO141" s="548"/>
      <c r="AP141" s="548"/>
      <c r="AQ141" s="548"/>
      <c r="AR141" s="548"/>
      <c r="AS141" s="548"/>
      <c r="AT141" s="548"/>
      <c r="AU141" s="548"/>
      <c r="AV141" s="548"/>
      <c r="AW141" s="548"/>
      <c r="AX141" s="548"/>
      <c r="AY141" s="548"/>
      <c r="AZ141" s="548"/>
      <c r="BA141" s="548"/>
      <c r="BB141" s="548"/>
      <c r="BC141" s="548"/>
      <c r="BD141" s="548"/>
      <c r="BE141" s="548"/>
      <c r="BF141" s="548"/>
      <c r="BG141" s="548"/>
      <c r="BH141" s="548"/>
      <c r="BI141" s="548"/>
      <c r="BK141" s="1"/>
      <c r="BL141" s="1"/>
      <c r="BM141" s="1"/>
      <c r="BN141" s="1"/>
      <c r="BO141" s="1"/>
    </row>
    <row r="142" spans="1:67" s="6" customFormat="1" ht="33.75" customHeight="1">
      <c r="A142" s="547" t="s">
        <v>109</v>
      </c>
      <c r="B142" s="547"/>
      <c r="C142" s="547"/>
      <c r="D142" s="547"/>
      <c r="E142" s="547"/>
      <c r="F142" s="547"/>
      <c r="G142" s="547"/>
      <c r="H142" s="547"/>
      <c r="I142" s="547"/>
      <c r="J142" s="547"/>
      <c r="K142" s="547"/>
      <c r="L142" s="547"/>
      <c r="M142" s="547"/>
      <c r="N142" s="547"/>
      <c r="O142" s="547"/>
      <c r="P142" s="547"/>
      <c r="Q142" s="547"/>
      <c r="R142" s="547"/>
      <c r="S142" s="547"/>
      <c r="T142" s="547"/>
      <c r="U142" s="547"/>
      <c r="V142" s="547"/>
      <c r="W142" s="547"/>
      <c r="X142" s="547"/>
      <c r="Y142" s="547"/>
      <c r="Z142" s="547"/>
      <c r="AA142" s="547"/>
      <c r="AB142" s="547"/>
      <c r="AC142" s="547"/>
      <c r="AD142" s="547"/>
      <c r="AE142" s="547"/>
      <c r="AF142" s="547"/>
      <c r="AG142" s="547"/>
      <c r="AH142" s="547"/>
      <c r="AI142" s="547"/>
      <c r="AJ142" s="547"/>
      <c r="AK142" s="547"/>
      <c r="AL142" s="547"/>
      <c r="AM142" s="547"/>
      <c r="AN142" s="547"/>
      <c r="AO142" s="547"/>
      <c r="AP142" s="547"/>
      <c r="AQ142" s="547"/>
      <c r="AR142" s="547"/>
      <c r="AS142" s="547"/>
      <c r="AT142" s="547"/>
      <c r="AU142" s="547"/>
      <c r="AV142" s="547"/>
      <c r="AW142" s="547"/>
      <c r="AX142" s="547"/>
      <c r="AY142" s="547"/>
      <c r="AZ142" s="547"/>
      <c r="BA142" s="547"/>
      <c r="BB142" s="547"/>
      <c r="BC142" s="547"/>
      <c r="BD142" s="547"/>
      <c r="BE142" s="547"/>
      <c r="BF142" s="547"/>
      <c r="BG142" s="547"/>
      <c r="BH142" s="547"/>
      <c r="BI142" s="547"/>
      <c r="BK142" s="1"/>
      <c r="BL142" s="1"/>
      <c r="BM142" s="1"/>
      <c r="BN142" s="1"/>
      <c r="BO142" s="1"/>
    </row>
    <row r="143" spans="1:67" s="6" customFormat="1" ht="21.75" customHeight="1" thickBo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39"/>
      <c r="S143" s="39"/>
      <c r="T143" s="13"/>
      <c r="U143" s="40"/>
      <c r="V143" s="40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4"/>
      <c r="BG143" s="14"/>
      <c r="BH143" s="14"/>
      <c r="BI143" s="14"/>
      <c r="BK143" s="1"/>
      <c r="BL143" s="1"/>
      <c r="BM143" s="1"/>
      <c r="BN143" s="1"/>
      <c r="BO143" s="1"/>
    </row>
    <row r="144" spans="1:67" s="6" customFormat="1" ht="83.25" customHeight="1" thickBot="1">
      <c r="A144" s="506" t="s">
        <v>103</v>
      </c>
      <c r="B144" s="507"/>
      <c r="C144" s="507"/>
      <c r="D144" s="508"/>
      <c r="E144" s="515" t="s">
        <v>104</v>
      </c>
      <c r="F144" s="516"/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  <c r="Q144" s="516"/>
      <c r="R144" s="516"/>
      <c r="S144" s="516"/>
      <c r="T144" s="516"/>
      <c r="U144" s="516"/>
      <c r="V144" s="516"/>
      <c r="W144" s="516"/>
      <c r="X144" s="516"/>
      <c r="Y144" s="516"/>
      <c r="Z144" s="516"/>
      <c r="AA144" s="516"/>
      <c r="AB144" s="516"/>
      <c r="AC144" s="516"/>
      <c r="AD144" s="516"/>
      <c r="AE144" s="516"/>
      <c r="AF144" s="516"/>
      <c r="AG144" s="516"/>
      <c r="AH144" s="516"/>
      <c r="AI144" s="516"/>
      <c r="AJ144" s="516"/>
      <c r="AK144" s="516"/>
      <c r="AL144" s="516"/>
      <c r="AM144" s="516"/>
      <c r="AN144" s="516"/>
      <c r="AO144" s="516"/>
      <c r="AP144" s="516"/>
      <c r="AQ144" s="516"/>
      <c r="AR144" s="516"/>
      <c r="AS144" s="516"/>
      <c r="AT144" s="516"/>
      <c r="AU144" s="516"/>
      <c r="AV144" s="516"/>
      <c r="AW144" s="516"/>
      <c r="AX144" s="516"/>
      <c r="AY144" s="516"/>
      <c r="AZ144" s="516"/>
      <c r="BA144" s="516"/>
      <c r="BB144" s="516"/>
      <c r="BC144" s="516"/>
      <c r="BD144" s="516"/>
      <c r="BE144" s="516"/>
      <c r="BF144" s="517" t="s">
        <v>396</v>
      </c>
      <c r="BG144" s="518"/>
      <c r="BH144" s="518"/>
      <c r="BI144" s="519"/>
      <c r="BK144" s="1"/>
      <c r="BL144" s="1"/>
      <c r="BM144" s="1"/>
      <c r="BN144" s="1"/>
      <c r="BO144" s="1"/>
    </row>
    <row r="145" spans="1:67" s="6" customFormat="1" ht="78.75" customHeight="1">
      <c r="A145" s="175" t="s">
        <v>204</v>
      </c>
      <c r="B145" s="176"/>
      <c r="C145" s="176"/>
      <c r="D145" s="177"/>
      <c r="E145" s="178" t="s">
        <v>397</v>
      </c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9"/>
      <c r="BF145" s="201" t="s">
        <v>291</v>
      </c>
      <c r="BG145" s="202"/>
      <c r="BH145" s="202"/>
      <c r="BI145" s="203"/>
      <c r="BK145" s="1"/>
      <c r="BL145" s="1"/>
      <c r="BM145" s="1"/>
      <c r="BN145" s="1"/>
      <c r="BO145" s="1"/>
    </row>
    <row r="146" spans="1:67" s="6" customFormat="1" ht="70.5" customHeight="1">
      <c r="A146" s="175" t="s">
        <v>205</v>
      </c>
      <c r="B146" s="176"/>
      <c r="C146" s="176"/>
      <c r="D146" s="177"/>
      <c r="E146" s="509" t="s">
        <v>400</v>
      </c>
      <c r="F146" s="510"/>
      <c r="G146" s="510"/>
      <c r="H146" s="510"/>
      <c r="I146" s="510"/>
      <c r="J146" s="510"/>
      <c r="K146" s="510"/>
      <c r="L146" s="510"/>
      <c r="M146" s="510"/>
      <c r="N146" s="510"/>
      <c r="O146" s="510"/>
      <c r="P146" s="510"/>
      <c r="Q146" s="510"/>
      <c r="R146" s="510"/>
      <c r="S146" s="510"/>
      <c r="T146" s="510"/>
      <c r="U146" s="510"/>
      <c r="V146" s="510"/>
      <c r="W146" s="510"/>
      <c r="X146" s="510"/>
      <c r="Y146" s="510"/>
      <c r="Z146" s="510"/>
      <c r="AA146" s="510"/>
      <c r="AB146" s="510"/>
      <c r="AC146" s="510"/>
      <c r="AD146" s="510"/>
      <c r="AE146" s="510"/>
      <c r="AF146" s="510"/>
      <c r="AG146" s="510"/>
      <c r="AH146" s="510"/>
      <c r="AI146" s="510"/>
      <c r="AJ146" s="510"/>
      <c r="AK146" s="510"/>
      <c r="AL146" s="510"/>
      <c r="AM146" s="510"/>
      <c r="AN146" s="510"/>
      <c r="AO146" s="510"/>
      <c r="AP146" s="510"/>
      <c r="AQ146" s="510"/>
      <c r="AR146" s="510"/>
      <c r="AS146" s="510"/>
      <c r="AT146" s="510"/>
      <c r="AU146" s="510"/>
      <c r="AV146" s="510"/>
      <c r="AW146" s="510"/>
      <c r="AX146" s="510"/>
      <c r="AY146" s="510"/>
      <c r="AZ146" s="510"/>
      <c r="BA146" s="510"/>
      <c r="BB146" s="510"/>
      <c r="BC146" s="510"/>
      <c r="BD146" s="510"/>
      <c r="BE146" s="511"/>
      <c r="BF146" s="201" t="s">
        <v>106</v>
      </c>
      <c r="BG146" s="202"/>
      <c r="BH146" s="202"/>
      <c r="BI146" s="203"/>
      <c r="BK146" s="1"/>
      <c r="BL146" s="1"/>
      <c r="BM146" s="1"/>
      <c r="BN146" s="1"/>
      <c r="BO146" s="1"/>
    </row>
    <row r="147" spans="1:67" s="6" customFormat="1" ht="39.75" customHeight="1">
      <c r="A147" s="175" t="s">
        <v>206</v>
      </c>
      <c r="B147" s="176"/>
      <c r="C147" s="176"/>
      <c r="D147" s="177"/>
      <c r="E147" s="178" t="s">
        <v>388</v>
      </c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9"/>
      <c r="BF147" s="201" t="s">
        <v>107</v>
      </c>
      <c r="BG147" s="202"/>
      <c r="BH147" s="202"/>
      <c r="BI147" s="203"/>
      <c r="BK147" s="1"/>
      <c r="BL147" s="1"/>
      <c r="BM147" s="1"/>
      <c r="BN147" s="1"/>
      <c r="BO147" s="1"/>
    </row>
    <row r="148" spans="1:67" s="6" customFormat="1" ht="73.5" customHeight="1">
      <c r="A148" s="273" t="s">
        <v>207</v>
      </c>
      <c r="B148" s="274"/>
      <c r="C148" s="274"/>
      <c r="D148" s="275"/>
      <c r="E148" s="554" t="s">
        <v>389</v>
      </c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4"/>
      <c r="T148" s="554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54"/>
      <c r="AN148" s="554"/>
      <c r="AO148" s="554"/>
      <c r="AP148" s="554"/>
      <c r="AQ148" s="554"/>
      <c r="AR148" s="554"/>
      <c r="AS148" s="554"/>
      <c r="AT148" s="554"/>
      <c r="AU148" s="554"/>
      <c r="AV148" s="554"/>
      <c r="AW148" s="554"/>
      <c r="AX148" s="554"/>
      <c r="AY148" s="554"/>
      <c r="AZ148" s="554"/>
      <c r="BA148" s="554"/>
      <c r="BB148" s="554"/>
      <c r="BC148" s="554"/>
      <c r="BD148" s="554"/>
      <c r="BE148" s="276"/>
      <c r="BF148" s="278" t="s">
        <v>408</v>
      </c>
      <c r="BG148" s="279"/>
      <c r="BH148" s="279"/>
      <c r="BI148" s="280"/>
      <c r="BK148" s="1"/>
      <c r="BL148" s="1"/>
      <c r="BM148" s="1"/>
      <c r="BN148" s="1"/>
      <c r="BO148" s="1"/>
    </row>
    <row r="149" spans="1:67" s="6" customFormat="1" ht="69.75" customHeight="1">
      <c r="A149" s="175" t="s">
        <v>208</v>
      </c>
      <c r="B149" s="176"/>
      <c r="C149" s="176"/>
      <c r="D149" s="177"/>
      <c r="E149" s="528" t="s">
        <v>401</v>
      </c>
      <c r="F149" s="529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  <c r="Z149" s="529"/>
      <c r="AA149" s="529"/>
      <c r="AB149" s="529"/>
      <c r="AC149" s="529"/>
      <c r="AD149" s="529"/>
      <c r="AE149" s="529"/>
      <c r="AF149" s="529"/>
      <c r="AG149" s="529"/>
      <c r="AH149" s="529"/>
      <c r="AI149" s="529"/>
      <c r="AJ149" s="529"/>
      <c r="AK149" s="529"/>
      <c r="AL149" s="529"/>
      <c r="AM149" s="529"/>
      <c r="AN149" s="529"/>
      <c r="AO149" s="529"/>
      <c r="AP149" s="529"/>
      <c r="AQ149" s="529"/>
      <c r="AR149" s="529"/>
      <c r="AS149" s="529"/>
      <c r="AT149" s="529"/>
      <c r="AU149" s="529"/>
      <c r="AV149" s="529"/>
      <c r="AW149" s="529"/>
      <c r="AX149" s="529"/>
      <c r="AY149" s="529"/>
      <c r="AZ149" s="529"/>
      <c r="BA149" s="529"/>
      <c r="BB149" s="529"/>
      <c r="BC149" s="529"/>
      <c r="BD149" s="529"/>
      <c r="BE149" s="530"/>
      <c r="BF149" s="201" t="s">
        <v>402</v>
      </c>
      <c r="BG149" s="202"/>
      <c r="BH149" s="202"/>
      <c r="BI149" s="203"/>
      <c r="BK149" s="1"/>
      <c r="BL149" s="1"/>
      <c r="BM149" s="1"/>
      <c r="BN149" s="1"/>
      <c r="BO149" s="1"/>
    </row>
    <row r="150" spans="1:67" s="6" customFormat="1" ht="40.5" customHeight="1">
      <c r="A150" s="175" t="s">
        <v>282</v>
      </c>
      <c r="B150" s="176"/>
      <c r="C150" s="176"/>
      <c r="D150" s="177"/>
      <c r="E150" s="178" t="s">
        <v>357</v>
      </c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9"/>
      <c r="BF150" s="201" t="s">
        <v>171</v>
      </c>
      <c r="BG150" s="202"/>
      <c r="BH150" s="202"/>
      <c r="BI150" s="203"/>
      <c r="BK150" s="1"/>
      <c r="BL150" s="1"/>
      <c r="BM150" s="1"/>
      <c r="BN150" s="1"/>
      <c r="BO150" s="1"/>
    </row>
    <row r="151" spans="1:67" s="6" customFormat="1" ht="65.25" customHeight="1">
      <c r="A151" s="175" t="s">
        <v>283</v>
      </c>
      <c r="B151" s="176"/>
      <c r="C151" s="176"/>
      <c r="D151" s="177"/>
      <c r="E151" s="178" t="s">
        <v>290</v>
      </c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9"/>
      <c r="BF151" s="201" t="s">
        <v>172</v>
      </c>
      <c r="BG151" s="202"/>
      <c r="BH151" s="202"/>
      <c r="BI151" s="203"/>
      <c r="BK151" s="1"/>
      <c r="BL151" s="1"/>
      <c r="BM151" s="1"/>
      <c r="BN151" s="1"/>
      <c r="BO151" s="1"/>
    </row>
    <row r="152" spans="1:67" s="6" customFormat="1" ht="66" customHeight="1">
      <c r="A152" s="273" t="s">
        <v>273</v>
      </c>
      <c r="B152" s="274"/>
      <c r="C152" s="274"/>
      <c r="D152" s="275"/>
      <c r="E152" s="276" t="s">
        <v>289</v>
      </c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8" t="s">
        <v>173</v>
      </c>
      <c r="BG152" s="279"/>
      <c r="BH152" s="279"/>
      <c r="BI152" s="280"/>
      <c r="BK152" s="1"/>
      <c r="BL152" s="1"/>
      <c r="BM152" s="1"/>
      <c r="BN152" s="1"/>
      <c r="BO152" s="1"/>
    </row>
    <row r="153" spans="1:67" s="6" customFormat="1" ht="67.5" customHeight="1">
      <c r="A153" s="175" t="s">
        <v>284</v>
      </c>
      <c r="B153" s="176"/>
      <c r="C153" s="176"/>
      <c r="D153" s="177"/>
      <c r="E153" s="178" t="s">
        <v>346</v>
      </c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9"/>
      <c r="BF153" s="201" t="s">
        <v>70</v>
      </c>
      <c r="BG153" s="202"/>
      <c r="BH153" s="202"/>
      <c r="BI153" s="203"/>
      <c r="BK153" s="1"/>
      <c r="BL153" s="1"/>
      <c r="BM153" s="1"/>
      <c r="BN153" s="1"/>
      <c r="BO153" s="1"/>
    </row>
    <row r="154" spans="1:67" s="6" customFormat="1" ht="35.25" customHeight="1">
      <c r="A154" s="175" t="s">
        <v>285</v>
      </c>
      <c r="B154" s="176"/>
      <c r="C154" s="176"/>
      <c r="D154" s="177"/>
      <c r="E154" s="178" t="s">
        <v>347</v>
      </c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9"/>
      <c r="BF154" s="201" t="s">
        <v>414</v>
      </c>
      <c r="BG154" s="202"/>
      <c r="BH154" s="202"/>
      <c r="BI154" s="203"/>
      <c r="BK154" s="1"/>
      <c r="BL154" s="1"/>
      <c r="BM154" s="1"/>
      <c r="BN154" s="1"/>
      <c r="BO154" s="1"/>
    </row>
    <row r="155" spans="1:67" s="6" customFormat="1" ht="70.5" customHeight="1">
      <c r="A155" s="175" t="s">
        <v>286</v>
      </c>
      <c r="B155" s="176"/>
      <c r="C155" s="176"/>
      <c r="D155" s="177"/>
      <c r="E155" s="555" t="s">
        <v>350</v>
      </c>
      <c r="F155" s="555"/>
      <c r="G155" s="555"/>
      <c r="H155" s="555"/>
      <c r="I155" s="555"/>
      <c r="J155" s="555"/>
      <c r="K155" s="555"/>
      <c r="L155" s="555"/>
      <c r="M155" s="555"/>
      <c r="N155" s="555"/>
      <c r="O155" s="555"/>
      <c r="P155" s="555"/>
      <c r="Q155" s="555"/>
      <c r="R155" s="555"/>
      <c r="S155" s="555"/>
      <c r="T155" s="555"/>
      <c r="U155" s="555"/>
      <c r="V155" s="555"/>
      <c r="W155" s="555"/>
      <c r="X155" s="555"/>
      <c r="Y155" s="555"/>
      <c r="Z155" s="555"/>
      <c r="AA155" s="555"/>
      <c r="AB155" s="555"/>
      <c r="AC155" s="555"/>
      <c r="AD155" s="555"/>
      <c r="AE155" s="555"/>
      <c r="AF155" s="555"/>
      <c r="AG155" s="555"/>
      <c r="AH155" s="555"/>
      <c r="AI155" s="555"/>
      <c r="AJ155" s="555"/>
      <c r="AK155" s="555"/>
      <c r="AL155" s="555"/>
      <c r="AM155" s="555"/>
      <c r="AN155" s="555"/>
      <c r="AO155" s="555"/>
      <c r="AP155" s="555"/>
      <c r="AQ155" s="555"/>
      <c r="AR155" s="555"/>
      <c r="AS155" s="555"/>
      <c r="AT155" s="555"/>
      <c r="AU155" s="555"/>
      <c r="AV155" s="555"/>
      <c r="AW155" s="555"/>
      <c r="AX155" s="555"/>
      <c r="AY155" s="555"/>
      <c r="AZ155" s="555"/>
      <c r="BA155" s="555"/>
      <c r="BB155" s="555"/>
      <c r="BC155" s="555"/>
      <c r="BD155" s="555"/>
      <c r="BE155" s="509"/>
      <c r="BF155" s="201" t="s">
        <v>98</v>
      </c>
      <c r="BG155" s="202"/>
      <c r="BH155" s="202"/>
      <c r="BI155" s="203"/>
      <c r="BK155" s="1"/>
      <c r="BL155" s="1"/>
      <c r="BM155" s="1"/>
      <c r="BN155" s="1"/>
      <c r="BO155" s="1"/>
    </row>
    <row r="156" spans="1:67" s="6" customFormat="1" ht="35.25" customHeight="1">
      <c r="A156" s="175" t="s">
        <v>344</v>
      </c>
      <c r="B156" s="176"/>
      <c r="C156" s="176"/>
      <c r="D156" s="177"/>
      <c r="E156" s="178" t="s">
        <v>390</v>
      </c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9"/>
      <c r="BF156" s="201" t="s">
        <v>98</v>
      </c>
      <c r="BG156" s="202"/>
      <c r="BH156" s="202"/>
      <c r="BI156" s="203"/>
      <c r="BK156" s="1"/>
      <c r="BL156" s="1"/>
      <c r="BM156" s="1"/>
      <c r="BN156" s="1"/>
      <c r="BO156" s="1"/>
    </row>
    <row r="157" spans="1:67" s="6" customFormat="1" ht="71.25" customHeight="1">
      <c r="A157" s="175" t="s">
        <v>345</v>
      </c>
      <c r="B157" s="176"/>
      <c r="C157" s="176"/>
      <c r="D157" s="177"/>
      <c r="E157" s="178" t="s">
        <v>391</v>
      </c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9"/>
      <c r="BF157" s="201" t="s">
        <v>108</v>
      </c>
      <c r="BG157" s="202"/>
      <c r="BH157" s="202"/>
      <c r="BI157" s="203"/>
      <c r="BK157" s="1"/>
      <c r="BL157" s="1"/>
      <c r="BM157" s="1"/>
      <c r="BN157" s="1"/>
      <c r="BO157" s="1"/>
    </row>
    <row r="158" spans="1:67" s="6" customFormat="1" ht="41.25" customHeight="1">
      <c r="A158" s="175" t="s">
        <v>376</v>
      </c>
      <c r="B158" s="176"/>
      <c r="C158" s="176"/>
      <c r="D158" s="177"/>
      <c r="E158" s="178" t="s">
        <v>392</v>
      </c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9"/>
      <c r="BF158" s="201" t="s">
        <v>108</v>
      </c>
      <c r="BG158" s="202"/>
      <c r="BH158" s="202"/>
      <c r="BI158" s="203"/>
      <c r="BK158" s="1"/>
      <c r="BL158" s="1"/>
      <c r="BM158" s="1"/>
      <c r="BN158" s="1"/>
      <c r="BO158" s="1"/>
    </row>
    <row r="159" spans="1:67" s="6" customFormat="1" ht="33" customHeight="1">
      <c r="A159" s="175" t="s">
        <v>382</v>
      </c>
      <c r="B159" s="176"/>
      <c r="C159" s="176"/>
      <c r="D159" s="177"/>
      <c r="E159" s="178" t="s">
        <v>393</v>
      </c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9"/>
      <c r="BF159" s="201" t="s">
        <v>66</v>
      </c>
      <c r="BG159" s="202"/>
      <c r="BH159" s="202"/>
      <c r="BI159" s="203"/>
      <c r="BK159" s="1"/>
      <c r="BL159" s="1"/>
      <c r="BM159" s="1"/>
      <c r="BN159" s="1"/>
      <c r="BO159" s="1"/>
    </row>
    <row r="160" spans="1:67" s="6" customFormat="1" ht="33" customHeight="1" thickBot="1">
      <c r="A160" s="175" t="s">
        <v>383</v>
      </c>
      <c r="B160" s="176"/>
      <c r="C160" s="176"/>
      <c r="D160" s="177"/>
      <c r="E160" s="178" t="s">
        <v>394</v>
      </c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9"/>
      <c r="BF160" s="201" t="s">
        <v>130</v>
      </c>
      <c r="BG160" s="202"/>
      <c r="BH160" s="202"/>
      <c r="BI160" s="203"/>
      <c r="BK160" s="1"/>
      <c r="BL160" s="1"/>
      <c r="BM160" s="1"/>
      <c r="BN160" s="1"/>
      <c r="BO160" s="1"/>
    </row>
    <row r="161" spans="1:67" s="6" customFormat="1" ht="35.25" customHeight="1">
      <c r="A161" s="520" t="s">
        <v>210</v>
      </c>
      <c r="B161" s="521"/>
      <c r="C161" s="521"/>
      <c r="D161" s="522"/>
      <c r="E161" s="523" t="s">
        <v>209</v>
      </c>
      <c r="F161" s="524"/>
      <c r="G161" s="524"/>
      <c r="H161" s="524"/>
      <c r="I161" s="524"/>
      <c r="J161" s="524"/>
      <c r="K161" s="524"/>
      <c r="L161" s="524"/>
      <c r="M161" s="524"/>
      <c r="N161" s="524"/>
      <c r="O161" s="524"/>
      <c r="P161" s="524"/>
      <c r="Q161" s="524"/>
      <c r="R161" s="524"/>
      <c r="S161" s="524"/>
      <c r="T161" s="524"/>
      <c r="U161" s="524"/>
      <c r="V161" s="524"/>
      <c r="W161" s="524"/>
      <c r="X161" s="524"/>
      <c r="Y161" s="524"/>
      <c r="Z161" s="524"/>
      <c r="AA161" s="524"/>
      <c r="AB161" s="524"/>
      <c r="AC161" s="524"/>
      <c r="AD161" s="524"/>
      <c r="AE161" s="524"/>
      <c r="AF161" s="524"/>
      <c r="AG161" s="524"/>
      <c r="AH161" s="524"/>
      <c r="AI161" s="524"/>
      <c r="AJ161" s="524"/>
      <c r="AK161" s="524"/>
      <c r="AL161" s="524"/>
      <c r="AM161" s="524"/>
      <c r="AN161" s="524"/>
      <c r="AO161" s="524"/>
      <c r="AP161" s="524"/>
      <c r="AQ161" s="524"/>
      <c r="AR161" s="524"/>
      <c r="AS161" s="524"/>
      <c r="AT161" s="524"/>
      <c r="AU161" s="524"/>
      <c r="AV161" s="524"/>
      <c r="AW161" s="524"/>
      <c r="AX161" s="524"/>
      <c r="AY161" s="524"/>
      <c r="AZ161" s="524"/>
      <c r="BA161" s="524"/>
      <c r="BB161" s="524"/>
      <c r="BC161" s="524"/>
      <c r="BD161" s="524"/>
      <c r="BE161" s="524"/>
      <c r="BF161" s="525" t="s">
        <v>387</v>
      </c>
      <c r="BG161" s="526"/>
      <c r="BH161" s="526"/>
      <c r="BI161" s="527"/>
      <c r="BK161" s="1"/>
      <c r="BL161" s="1"/>
      <c r="BM161" s="1"/>
      <c r="BN161" s="1"/>
      <c r="BO161" s="1"/>
    </row>
    <row r="162" spans="1:67" s="6" customFormat="1" ht="73.5" customHeight="1">
      <c r="A162" s="175" t="s">
        <v>212</v>
      </c>
      <c r="B162" s="176"/>
      <c r="C162" s="176"/>
      <c r="D162" s="177"/>
      <c r="E162" s="179" t="s">
        <v>211</v>
      </c>
      <c r="F162" s="531"/>
      <c r="G162" s="531"/>
      <c r="H162" s="531"/>
      <c r="I162" s="531"/>
      <c r="J162" s="531"/>
      <c r="K162" s="531"/>
      <c r="L162" s="531"/>
      <c r="M162" s="531"/>
      <c r="N162" s="531"/>
      <c r="O162" s="531"/>
      <c r="P162" s="531"/>
      <c r="Q162" s="531"/>
      <c r="R162" s="531"/>
      <c r="S162" s="531"/>
      <c r="T162" s="531"/>
      <c r="U162" s="531"/>
      <c r="V162" s="531"/>
      <c r="W162" s="531"/>
      <c r="X162" s="531"/>
      <c r="Y162" s="531"/>
      <c r="Z162" s="531"/>
      <c r="AA162" s="531"/>
      <c r="AB162" s="531"/>
      <c r="AC162" s="531"/>
      <c r="AD162" s="531"/>
      <c r="AE162" s="531"/>
      <c r="AF162" s="531"/>
      <c r="AG162" s="531"/>
      <c r="AH162" s="531"/>
      <c r="AI162" s="531"/>
      <c r="AJ162" s="531"/>
      <c r="AK162" s="531"/>
      <c r="AL162" s="531"/>
      <c r="AM162" s="531"/>
      <c r="AN162" s="531"/>
      <c r="AO162" s="531"/>
      <c r="AP162" s="531"/>
      <c r="AQ162" s="531"/>
      <c r="AR162" s="531"/>
      <c r="AS162" s="531"/>
      <c r="AT162" s="531"/>
      <c r="AU162" s="531"/>
      <c r="AV162" s="531"/>
      <c r="AW162" s="531"/>
      <c r="AX162" s="531"/>
      <c r="AY162" s="531"/>
      <c r="AZ162" s="531"/>
      <c r="BA162" s="531"/>
      <c r="BB162" s="531"/>
      <c r="BC162" s="531"/>
      <c r="BD162" s="531"/>
      <c r="BE162" s="531"/>
      <c r="BF162" s="201" t="s">
        <v>119</v>
      </c>
      <c r="BG162" s="202"/>
      <c r="BH162" s="202"/>
      <c r="BI162" s="203"/>
      <c r="BK162" s="1"/>
      <c r="BL162" s="1"/>
      <c r="BM162" s="1"/>
      <c r="BN162" s="1"/>
      <c r="BO162" s="1"/>
    </row>
    <row r="163" spans="1:67" s="6" customFormat="1" ht="64.5" customHeight="1">
      <c r="A163" s="24" t="s">
        <v>110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41"/>
      <c r="S163" s="41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101"/>
      <c r="AF163" s="99"/>
      <c r="AG163" s="99"/>
      <c r="AH163" s="99"/>
      <c r="AI163" s="99"/>
      <c r="AJ163" s="24" t="s">
        <v>110</v>
      </c>
      <c r="AK163" s="99"/>
      <c r="AL163" s="99"/>
      <c r="AM163" s="99"/>
      <c r="AN163" s="99"/>
      <c r="AO163" s="99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5"/>
      <c r="BG163" s="5"/>
      <c r="BH163" s="5"/>
      <c r="BI163" s="5"/>
      <c r="BK163" s="1"/>
      <c r="BL163" s="1"/>
      <c r="BM163" s="1"/>
      <c r="BN163" s="1"/>
      <c r="BO163" s="1"/>
    </row>
    <row r="164" spans="1:67" s="6" customFormat="1" ht="30" customHeight="1">
      <c r="A164" s="532" t="s">
        <v>413</v>
      </c>
      <c r="B164" s="532"/>
      <c r="C164" s="532"/>
      <c r="D164" s="532"/>
      <c r="E164" s="532"/>
      <c r="F164" s="532"/>
      <c r="G164" s="532"/>
      <c r="H164" s="532"/>
      <c r="I164" s="532"/>
      <c r="J164" s="532"/>
      <c r="K164" s="532"/>
      <c r="L164" s="532"/>
      <c r="M164" s="532"/>
      <c r="N164" s="532"/>
      <c r="O164" s="532"/>
      <c r="P164" s="532"/>
      <c r="Q164" s="532"/>
      <c r="R164" s="532"/>
      <c r="S164" s="532"/>
      <c r="T164" s="532"/>
      <c r="U164" s="532"/>
      <c r="V164" s="532"/>
      <c r="W164" s="532"/>
      <c r="X164" s="532"/>
      <c r="Y164" s="532"/>
      <c r="Z164" s="532"/>
      <c r="AA164" s="532"/>
      <c r="AB164" s="532"/>
      <c r="AC164" s="532"/>
      <c r="AD164" s="532"/>
      <c r="AE164" s="532"/>
      <c r="AF164" s="532"/>
      <c r="AG164" s="1"/>
      <c r="AH164" s="1"/>
      <c r="AI164" s="1"/>
      <c r="AJ164" s="532" t="s">
        <v>416</v>
      </c>
      <c r="AK164" s="532"/>
      <c r="AL164" s="532"/>
      <c r="AM164" s="532"/>
      <c r="AN164" s="532"/>
      <c r="AO164" s="532"/>
      <c r="AP164" s="532"/>
      <c r="AQ164" s="532"/>
      <c r="AR164" s="532"/>
      <c r="AS164" s="532"/>
      <c r="AT164" s="532"/>
      <c r="AU164" s="532"/>
      <c r="AV164" s="532"/>
      <c r="AW164" s="532"/>
      <c r="AX164" s="532"/>
      <c r="AY164" s="532"/>
      <c r="AZ164" s="532"/>
      <c r="BA164" s="532"/>
      <c r="BB164" s="532"/>
      <c r="BC164" s="532"/>
      <c r="BD164" s="532"/>
      <c r="BE164" s="532"/>
      <c r="BF164" s="532"/>
      <c r="BG164" s="532"/>
      <c r="BH164" s="532"/>
      <c r="BI164" s="532"/>
      <c r="BK164" s="1"/>
      <c r="BL164" s="1"/>
      <c r="BM164" s="1"/>
      <c r="BN164" s="1"/>
      <c r="BO164" s="1"/>
    </row>
    <row r="165" spans="1:67" s="6" customFormat="1" ht="35.25" customHeight="1">
      <c r="A165" s="532"/>
      <c r="B165" s="532"/>
      <c r="C165" s="532"/>
      <c r="D165" s="532"/>
      <c r="E165" s="532"/>
      <c r="F165" s="532"/>
      <c r="G165" s="532"/>
      <c r="H165" s="532"/>
      <c r="I165" s="532"/>
      <c r="J165" s="532"/>
      <c r="K165" s="532"/>
      <c r="L165" s="532"/>
      <c r="M165" s="532"/>
      <c r="N165" s="532"/>
      <c r="O165" s="532"/>
      <c r="P165" s="532"/>
      <c r="Q165" s="532"/>
      <c r="R165" s="532"/>
      <c r="S165" s="532"/>
      <c r="T165" s="532"/>
      <c r="U165" s="532"/>
      <c r="V165" s="532"/>
      <c r="W165" s="532"/>
      <c r="X165" s="532"/>
      <c r="Y165" s="532"/>
      <c r="Z165" s="532"/>
      <c r="AA165" s="532"/>
      <c r="AB165" s="532"/>
      <c r="AC165" s="532"/>
      <c r="AD165" s="532"/>
      <c r="AE165" s="532"/>
      <c r="AF165" s="532"/>
      <c r="AG165" s="1"/>
      <c r="AH165" s="1"/>
      <c r="AI165" s="1"/>
      <c r="AJ165" s="532"/>
      <c r="AK165" s="532"/>
      <c r="AL165" s="532"/>
      <c r="AM165" s="532"/>
      <c r="AN165" s="532"/>
      <c r="AO165" s="532"/>
      <c r="AP165" s="532"/>
      <c r="AQ165" s="532"/>
      <c r="AR165" s="532"/>
      <c r="AS165" s="532"/>
      <c r="AT165" s="532"/>
      <c r="AU165" s="532"/>
      <c r="AV165" s="532"/>
      <c r="AW165" s="532"/>
      <c r="AX165" s="532"/>
      <c r="AY165" s="532"/>
      <c r="AZ165" s="532"/>
      <c r="BA165" s="532"/>
      <c r="BB165" s="532"/>
      <c r="BC165" s="532"/>
      <c r="BD165" s="532"/>
      <c r="BE165" s="532"/>
      <c r="BF165" s="532"/>
      <c r="BG165" s="532"/>
      <c r="BH165" s="532"/>
      <c r="BI165" s="532"/>
      <c r="BK165" s="1"/>
      <c r="BL165" s="1"/>
      <c r="BM165" s="1"/>
      <c r="BN165" s="1"/>
      <c r="BO165" s="1"/>
    </row>
    <row r="166" spans="1:67" s="6" customFormat="1" ht="44.25" customHeight="1">
      <c r="A166" s="533"/>
      <c r="B166" s="533"/>
      <c r="C166" s="533"/>
      <c r="D166" s="533"/>
      <c r="E166" s="533"/>
      <c r="F166" s="533"/>
      <c r="G166" s="42"/>
      <c r="H166" s="534" t="s">
        <v>330</v>
      </c>
      <c r="I166" s="534"/>
      <c r="J166" s="534"/>
      <c r="K166" s="534"/>
      <c r="L166" s="534"/>
      <c r="M166" s="534"/>
      <c r="N166" s="534"/>
      <c r="O166" s="534"/>
      <c r="P166" s="534"/>
      <c r="Q166" s="42"/>
      <c r="R166" s="42"/>
      <c r="S166" s="42"/>
      <c r="T166" s="42"/>
      <c r="U166" s="4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00"/>
      <c r="AK166" s="100"/>
      <c r="AL166" s="100"/>
      <c r="AM166" s="100"/>
      <c r="AN166" s="100"/>
      <c r="AO166" s="100"/>
      <c r="AP166" s="99"/>
      <c r="AQ166" s="534" t="s">
        <v>329</v>
      </c>
      <c r="AR166" s="534"/>
      <c r="AS166" s="534"/>
      <c r="AT166" s="534"/>
      <c r="AU166" s="534"/>
      <c r="AV166" s="534"/>
      <c r="AW166" s="42"/>
      <c r="AX166" s="42"/>
      <c r="AY166" s="42"/>
      <c r="AZ166" s="42"/>
      <c r="BA166" s="42"/>
      <c r="BB166" s="42"/>
      <c r="BC166" s="42"/>
      <c r="BD166" s="1"/>
      <c r="BE166" s="1"/>
      <c r="BF166" s="5"/>
      <c r="BG166" s="5"/>
      <c r="BH166" s="5"/>
      <c r="BI166" s="5"/>
      <c r="BK166" s="1"/>
      <c r="BL166" s="1"/>
      <c r="BM166" s="1"/>
      <c r="BN166" s="1"/>
      <c r="BO166" s="1"/>
    </row>
    <row r="167" spans="1:67" s="6" customFormat="1" ht="54" customHeight="1">
      <c r="A167" s="348" t="s">
        <v>113</v>
      </c>
      <c r="B167" s="348"/>
      <c r="C167" s="348"/>
      <c r="D167" s="348"/>
      <c r="E167" s="348"/>
      <c r="F167" s="348"/>
      <c r="G167" s="99"/>
      <c r="H167" s="55"/>
      <c r="I167" s="55"/>
      <c r="J167" s="55"/>
      <c r="K167" s="55"/>
      <c r="L167" s="55"/>
      <c r="M167" s="55"/>
      <c r="N167" s="99"/>
      <c r="O167" s="99"/>
      <c r="P167" s="99"/>
      <c r="Q167" s="99"/>
      <c r="R167" s="99"/>
      <c r="S167" s="99"/>
      <c r="T167" s="99"/>
      <c r="U167" s="99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9" t="s">
        <v>111</v>
      </c>
      <c r="AK167" s="99"/>
      <c r="AL167" s="99"/>
      <c r="AM167" s="99"/>
      <c r="AN167" s="99"/>
      <c r="AO167" s="99"/>
      <c r="AP167" s="99"/>
      <c r="AQ167" s="103"/>
      <c r="AR167" s="103"/>
      <c r="AS167" s="103"/>
      <c r="AT167" s="103"/>
      <c r="AU167" s="103"/>
      <c r="AV167" s="103"/>
      <c r="AW167" s="99"/>
      <c r="AX167" s="99"/>
      <c r="AY167" s="99"/>
      <c r="AZ167" s="99"/>
      <c r="BA167" s="99"/>
      <c r="BB167" s="99"/>
      <c r="BC167" s="99"/>
      <c r="BD167" s="1"/>
      <c r="BE167" s="1"/>
      <c r="BF167" s="5"/>
      <c r="BG167" s="5"/>
      <c r="BH167" s="5"/>
      <c r="BI167" s="5"/>
      <c r="BK167" s="1"/>
      <c r="BL167" s="1"/>
      <c r="BM167" s="1"/>
      <c r="BN167" s="1"/>
      <c r="BO167" s="1"/>
    </row>
    <row r="168" spans="1:67" s="6" customFormat="1" ht="30" customHeight="1">
      <c r="A168" s="348" t="s">
        <v>112</v>
      </c>
      <c r="B168" s="348"/>
      <c r="C168" s="348"/>
      <c r="D168" s="348"/>
      <c r="E168" s="348"/>
      <c r="F168" s="348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348" t="s">
        <v>112</v>
      </c>
      <c r="AK168" s="348"/>
      <c r="AL168" s="348"/>
      <c r="AM168" s="348"/>
      <c r="AN168" s="348"/>
      <c r="AO168" s="348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1"/>
      <c r="BE168" s="1"/>
      <c r="BF168" s="5"/>
      <c r="BG168" s="5"/>
      <c r="BH168" s="5"/>
      <c r="BI168" s="5"/>
      <c r="BK168" s="1"/>
      <c r="BL168" s="1"/>
      <c r="BM168" s="1"/>
      <c r="BN168" s="1"/>
      <c r="BO168" s="1"/>
    </row>
    <row r="169" spans="1:61" s="6" customFormat="1" ht="43.5" customHeight="1">
      <c r="A169" s="277" t="s">
        <v>415</v>
      </c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7"/>
    </row>
    <row r="170" spans="1:67" s="6" customFormat="1" ht="68.25" customHeight="1">
      <c r="A170" s="175" t="s">
        <v>213</v>
      </c>
      <c r="B170" s="176"/>
      <c r="C170" s="176"/>
      <c r="D170" s="177"/>
      <c r="E170" s="179" t="s">
        <v>214</v>
      </c>
      <c r="F170" s="531"/>
      <c r="G170" s="531"/>
      <c r="H170" s="531"/>
      <c r="I170" s="531"/>
      <c r="J170" s="531"/>
      <c r="K170" s="531"/>
      <c r="L170" s="531"/>
      <c r="M170" s="531"/>
      <c r="N170" s="531"/>
      <c r="O170" s="531"/>
      <c r="P170" s="531"/>
      <c r="Q170" s="531"/>
      <c r="R170" s="531"/>
      <c r="S170" s="531"/>
      <c r="T170" s="531"/>
      <c r="U170" s="531"/>
      <c r="V170" s="531"/>
      <c r="W170" s="531"/>
      <c r="X170" s="531"/>
      <c r="Y170" s="531"/>
      <c r="Z170" s="531"/>
      <c r="AA170" s="531"/>
      <c r="AB170" s="531"/>
      <c r="AC170" s="531"/>
      <c r="AD170" s="531"/>
      <c r="AE170" s="531"/>
      <c r="AF170" s="531"/>
      <c r="AG170" s="531"/>
      <c r="AH170" s="531"/>
      <c r="AI170" s="531"/>
      <c r="AJ170" s="531"/>
      <c r="AK170" s="531"/>
      <c r="AL170" s="531"/>
      <c r="AM170" s="531"/>
      <c r="AN170" s="531"/>
      <c r="AO170" s="531"/>
      <c r="AP170" s="531"/>
      <c r="AQ170" s="531"/>
      <c r="AR170" s="531"/>
      <c r="AS170" s="531"/>
      <c r="AT170" s="531"/>
      <c r="AU170" s="531"/>
      <c r="AV170" s="531"/>
      <c r="AW170" s="531"/>
      <c r="AX170" s="531"/>
      <c r="AY170" s="531"/>
      <c r="AZ170" s="531"/>
      <c r="BA170" s="531"/>
      <c r="BB170" s="531"/>
      <c r="BC170" s="531"/>
      <c r="BD170" s="531"/>
      <c r="BE170" s="531"/>
      <c r="BF170" s="201" t="s">
        <v>120</v>
      </c>
      <c r="BG170" s="202"/>
      <c r="BH170" s="202"/>
      <c r="BI170" s="203"/>
      <c r="BK170" s="1"/>
      <c r="BL170" s="1"/>
      <c r="BM170" s="1"/>
      <c r="BN170" s="1"/>
      <c r="BO170" s="1"/>
    </row>
    <row r="171" spans="1:67" s="6" customFormat="1" ht="68.25" customHeight="1">
      <c r="A171" s="175" t="s">
        <v>216</v>
      </c>
      <c r="B171" s="176"/>
      <c r="C171" s="176"/>
      <c r="D171" s="177"/>
      <c r="E171" s="179" t="s">
        <v>215</v>
      </c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31"/>
      <c r="AA171" s="531"/>
      <c r="AB171" s="531"/>
      <c r="AC171" s="531"/>
      <c r="AD171" s="531"/>
      <c r="AE171" s="531"/>
      <c r="AF171" s="531"/>
      <c r="AG171" s="531"/>
      <c r="AH171" s="531"/>
      <c r="AI171" s="531"/>
      <c r="AJ171" s="531"/>
      <c r="AK171" s="531"/>
      <c r="AL171" s="531"/>
      <c r="AM171" s="531"/>
      <c r="AN171" s="531"/>
      <c r="AO171" s="531"/>
      <c r="AP171" s="531"/>
      <c r="AQ171" s="531"/>
      <c r="AR171" s="531"/>
      <c r="AS171" s="531"/>
      <c r="AT171" s="531"/>
      <c r="AU171" s="531"/>
      <c r="AV171" s="531"/>
      <c r="AW171" s="531"/>
      <c r="AX171" s="531"/>
      <c r="AY171" s="531"/>
      <c r="AZ171" s="531"/>
      <c r="BA171" s="531"/>
      <c r="BB171" s="531"/>
      <c r="BC171" s="531"/>
      <c r="BD171" s="531"/>
      <c r="BE171" s="531"/>
      <c r="BF171" s="201" t="s">
        <v>163</v>
      </c>
      <c r="BG171" s="202"/>
      <c r="BH171" s="202"/>
      <c r="BI171" s="203"/>
      <c r="BK171" s="1"/>
      <c r="BL171" s="1"/>
      <c r="BM171" s="1"/>
      <c r="BN171" s="1"/>
      <c r="BO171" s="1"/>
    </row>
    <row r="172" spans="1:67" s="6" customFormat="1" ht="43.5" customHeight="1">
      <c r="A172" s="175" t="s">
        <v>218</v>
      </c>
      <c r="B172" s="176"/>
      <c r="C172" s="176"/>
      <c r="D172" s="177"/>
      <c r="E172" s="179" t="s">
        <v>217</v>
      </c>
      <c r="F172" s="531"/>
      <c r="G172" s="531"/>
      <c r="H172" s="531"/>
      <c r="I172" s="531"/>
      <c r="J172" s="531"/>
      <c r="K172" s="531"/>
      <c r="L172" s="531"/>
      <c r="M172" s="531"/>
      <c r="N172" s="531"/>
      <c r="O172" s="531"/>
      <c r="P172" s="531"/>
      <c r="Q172" s="531"/>
      <c r="R172" s="531"/>
      <c r="S172" s="531"/>
      <c r="T172" s="531"/>
      <c r="U172" s="531"/>
      <c r="V172" s="531"/>
      <c r="W172" s="531"/>
      <c r="X172" s="531"/>
      <c r="Y172" s="531"/>
      <c r="Z172" s="531"/>
      <c r="AA172" s="531"/>
      <c r="AB172" s="531"/>
      <c r="AC172" s="531"/>
      <c r="AD172" s="531"/>
      <c r="AE172" s="531"/>
      <c r="AF172" s="531"/>
      <c r="AG172" s="531"/>
      <c r="AH172" s="531"/>
      <c r="AI172" s="531"/>
      <c r="AJ172" s="531"/>
      <c r="AK172" s="531"/>
      <c r="AL172" s="531"/>
      <c r="AM172" s="531"/>
      <c r="AN172" s="531"/>
      <c r="AO172" s="531"/>
      <c r="AP172" s="531"/>
      <c r="AQ172" s="531"/>
      <c r="AR172" s="531"/>
      <c r="AS172" s="531"/>
      <c r="AT172" s="531"/>
      <c r="AU172" s="531"/>
      <c r="AV172" s="531"/>
      <c r="AW172" s="531"/>
      <c r="AX172" s="531"/>
      <c r="AY172" s="531"/>
      <c r="AZ172" s="531"/>
      <c r="BA172" s="531"/>
      <c r="BB172" s="531"/>
      <c r="BC172" s="531"/>
      <c r="BD172" s="531"/>
      <c r="BE172" s="531"/>
      <c r="BF172" s="201" t="s">
        <v>164</v>
      </c>
      <c r="BG172" s="202"/>
      <c r="BH172" s="202"/>
      <c r="BI172" s="203"/>
      <c r="BK172" s="1"/>
      <c r="BL172" s="1"/>
      <c r="BM172" s="1"/>
      <c r="BN172" s="1"/>
      <c r="BO172" s="1"/>
    </row>
    <row r="173" spans="1:67" s="6" customFormat="1" ht="68.25" customHeight="1">
      <c r="A173" s="175" t="s">
        <v>220</v>
      </c>
      <c r="B173" s="176"/>
      <c r="C173" s="176"/>
      <c r="D173" s="177"/>
      <c r="E173" s="179" t="s">
        <v>219</v>
      </c>
      <c r="F173" s="531"/>
      <c r="G173" s="531"/>
      <c r="H173" s="531"/>
      <c r="I173" s="531"/>
      <c r="J173" s="531"/>
      <c r="K173" s="531"/>
      <c r="L173" s="531"/>
      <c r="M173" s="531"/>
      <c r="N173" s="531"/>
      <c r="O173" s="531"/>
      <c r="P173" s="531"/>
      <c r="Q173" s="531"/>
      <c r="R173" s="531"/>
      <c r="S173" s="531"/>
      <c r="T173" s="531"/>
      <c r="U173" s="531"/>
      <c r="V173" s="531"/>
      <c r="W173" s="531"/>
      <c r="X173" s="531"/>
      <c r="Y173" s="531"/>
      <c r="Z173" s="531"/>
      <c r="AA173" s="531"/>
      <c r="AB173" s="531"/>
      <c r="AC173" s="531"/>
      <c r="AD173" s="531"/>
      <c r="AE173" s="531"/>
      <c r="AF173" s="531"/>
      <c r="AG173" s="531"/>
      <c r="AH173" s="531"/>
      <c r="AI173" s="531"/>
      <c r="AJ173" s="531"/>
      <c r="AK173" s="531"/>
      <c r="AL173" s="531"/>
      <c r="AM173" s="531"/>
      <c r="AN173" s="531"/>
      <c r="AO173" s="531"/>
      <c r="AP173" s="531"/>
      <c r="AQ173" s="531"/>
      <c r="AR173" s="531"/>
      <c r="AS173" s="531"/>
      <c r="AT173" s="531"/>
      <c r="AU173" s="531"/>
      <c r="AV173" s="531"/>
      <c r="AW173" s="531"/>
      <c r="AX173" s="531"/>
      <c r="AY173" s="531"/>
      <c r="AZ173" s="531"/>
      <c r="BA173" s="531"/>
      <c r="BB173" s="531"/>
      <c r="BC173" s="531"/>
      <c r="BD173" s="531"/>
      <c r="BE173" s="531"/>
      <c r="BF173" s="201" t="s">
        <v>165</v>
      </c>
      <c r="BG173" s="202"/>
      <c r="BH173" s="202"/>
      <c r="BI173" s="203"/>
      <c r="BK173" s="1"/>
      <c r="BL173" s="1"/>
      <c r="BM173" s="1"/>
      <c r="BN173" s="1"/>
      <c r="BO173" s="1"/>
    </row>
    <row r="174" spans="1:67" s="6" customFormat="1" ht="42" customHeight="1">
      <c r="A174" s="175" t="s">
        <v>221</v>
      </c>
      <c r="B174" s="176"/>
      <c r="C174" s="176"/>
      <c r="D174" s="176"/>
      <c r="E174" s="224" t="s">
        <v>295</v>
      </c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6"/>
      <c r="BF174" s="201" t="s">
        <v>166</v>
      </c>
      <c r="BG174" s="202"/>
      <c r="BH174" s="202"/>
      <c r="BI174" s="203"/>
      <c r="BK174" s="1"/>
      <c r="BL174" s="1"/>
      <c r="BM174" s="1"/>
      <c r="BN174" s="1"/>
      <c r="BO174" s="1"/>
    </row>
    <row r="175" spans="1:67" s="6" customFormat="1" ht="38.25" customHeight="1">
      <c r="A175" s="175" t="s">
        <v>222</v>
      </c>
      <c r="B175" s="176"/>
      <c r="C175" s="176"/>
      <c r="D175" s="176"/>
      <c r="E175" s="224" t="s">
        <v>294</v>
      </c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6"/>
      <c r="BF175" s="201" t="s">
        <v>167</v>
      </c>
      <c r="BG175" s="202"/>
      <c r="BH175" s="202"/>
      <c r="BI175" s="203"/>
      <c r="BK175" s="1"/>
      <c r="BL175" s="1"/>
      <c r="BM175" s="1"/>
      <c r="BN175" s="1"/>
      <c r="BO175" s="1"/>
    </row>
    <row r="176" spans="1:67" s="6" customFormat="1" ht="68.25" customHeight="1">
      <c r="A176" s="175" t="s">
        <v>281</v>
      </c>
      <c r="B176" s="176"/>
      <c r="C176" s="176"/>
      <c r="D176" s="176"/>
      <c r="E176" s="224" t="s">
        <v>293</v>
      </c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6"/>
      <c r="BF176" s="201" t="s">
        <v>168</v>
      </c>
      <c r="BG176" s="202"/>
      <c r="BH176" s="202"/>
      <c r="BI176" s="203"/>
      <c r="BK176" s="1"/>
      <c r="BL176" s="1"/>
      <c r="BM176" s="1"/>
      <c r="BN176" s="1"/>
      <c r="BO176" s="1"/>
    </row>
    <row r="177" spans="1:67" s="6" customFormat="1" ht="39" customHeight="1">
      <c r="A177" s="273" t="s">
        <v>280</v>
      </c>
      <c r="B177" s="274"/>
      <c r="C177" s="274"/>
      <c r="D177" s="275"/>
      <c r="E177" s="227" t="s">
        <v>292</v>
      </c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8"/>
      <c r="BF177" s="201" t="s">
        <v>169</v>
      </c>
      <c r="BG177" s="202"/>
      <c r="BH177" s="202"/>
      <c r="BI177" s="203"/>
      <c r="BK177" s="1"/>
      <c r="BL177" s="1"/>
      <c r="BM177" s="1"/>
      <c r="BN177" s="1"/>
      <c r="BO177" s="1"/>
    </row>
    <row r="178" spans="1:67" s="6" customFormat="1" ht="38.25" customHeight="1">
      <c r="A178" s="175" t="s">
        <v>279</v>
      </c>
      <c r="B178" s="176"/>
      <c r="C178" s="176"/>
      <c r="D178" s="177"/>
      <c r="E178" s="179" t="s">
        <v>323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1"/>
      <c r="P178" s="531"/>
      <c r="Q178" s="531"/>
      <c r="R178" s="531"/>
      <c r="S178" s="531"/>
      <c r="T178" s="531"/>
      <c r="U178" s="531"/>
      <c r="V178" s="531"/>
      <c r="W178" s="531"/>
      <c r="X178" s="531"/>
      <c r="Y178" s="531"/>
      <c r="Z178" s="531"/>
      <c r="AA178" s="531"/>
      <c r="AB178" s="531"/>
      <c r="AC178" s="531"/>
      <c r="AD178" s="531"/>
      <c r="AE178" s="531"/>
      <c r="AF178" s="531"/>
      <c r="AG178" s="531"/>
      <c r="AH178" s="531"/>
      <c r="AI178" s="531"/>
      <c r="AJ178" s="531"/>
      <c r="AK178" s="531"/>
      <c r="AL178" s="531"/>
      <c r="AM178" s="531"/>
      <c r="AN178" s="531"/>
      <c r="AO178" s="531"/>
      <c r="AP178" s="531"/>
      <c r="AQ178" s="531"/>
      <c r="AR178" s="531"/>
      <c r="AS178" s="531"/>
      <c r="AT178" s="531"/>
      <c r="AU178" s="531"/>
      <c r="AV178" s="531"/>
      <c r="AW178" s="531"/>
      <c r="AX178" s="531"/>
      <c r="AY178" s="531"/>
      <c r="AZ178" s="531"/>
      <c r="BA178" s="531"/>
      <c r="BB178" s="531"/>
      <c r="BC178" s="531"/>
      <c r="BD178" s="531"/>
      <c r="BE178" s="531"/>
      <c r="BF178" s="201" t="s">
        <v>232</v>
      </c>
      <c r="BG178" s="202"/>
      <c r="BH178" s="202"/>
      <c r="BI178" s="203"/>
      <c r="BK178" s="1"/>
      <c r="BL178" s="1"/>
      <c r="BM178" s="1"/>
      <c r="BN178" s="1"/>
      <c r="BO178" s="1"/>
    </row>
    <row r="179" spans="1:67" s="6" customFormat="1" ht="36.75" customHeight="1">
      <c r="A179" s="175" t="s">
        <v>278</v>
      </c>
      <c r="B179" s="176"/>
      <c r="C179" s="176"/>
      <c r="D179" s="176"/>
      <c r="E179" s="224" t="s">
        <v>296</v>
      </c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6"/>
      <c r="BF179" s="201" t="s">
        <v>170</v>
      </c>
      <c r="BG179" s="202"/>
      <c r="BH179" s="202"/>
      <c r="BI179" s="203"/>
      <c r="BK179" s="1"/>
      <c r="BL179" s="1"/>
      <c r="BM179" s="1"/>
      <c r="BN179" s="1"/>
      <c r="BO179" s="1"/>
    </row>
    <row r="180" spans="1:67" s="6" customFormat="1" ht="67.5" customHeight="1">
      <c r="A180" s="175" t="s">
        <v>277</v>
      </c>
      <c r="B180" s="176"/>
      <c r="C180" s="176"/>
      <c r="D180" s="176"/>
      <c r="E180" s="224" t="s">
        <v>300</v>
      </c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6"/>
      <c r="BF180" s="201" t="s">
        <v>174</v>
      </c>
      <c r="BG180" s="202"/>
      <c r="BH180" s="202"/>
      <c r="BI180" s="203"/>
      <c r="BK180" s="1"/>
      <c r="BL180" s="1"/>
      <c r="BM180" s="1"/>
      <c r="BN180" s="1"/>
      <c r="BO180" s="1"/>
    </row>
    <row r="181" spans="1:67" s="6" customFormat="1" ht="71.25" customHeight="1">
      <c r="A181" s="175" t="s">
        <v>354</v>
      </c>
      <c r="B181" s="176"/>
      <c r="C181" s="176"/>
      <c r="D181" s="176"/>
      <c r="E181" s="224" t="s">
        <v>299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6"/>
      <c r="BF181" s="201" t="s">
        <v>328</v>
      </c>
      <c r="BG181" s="202"/>
      <c r="BH181" s="202"/>
      <c r="BI181" s="203"/>
      <c r="BK181" s="1"/>
      <c r="BL181" s="1"/>
      <c r="BM181" s="1"/>
      <c r="BN181" s="1"/>
      <c r="BO181" s="1"/>
    </row>
    <row r="182" spans="1:67" s="6" customFormat="1" ht="37.5" customHeight="1">
      <c r="A182" s="175" t="s">
        <v>355</v>
      </c>
      <c r="B182" s="176"/>
      <c r="C182" s="176"/>
      <c r="D182" s="176"/>
      <c r="E182" s="224" t="s">
        <v>276</v>
      </c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6"/>
      <c r="BF182" s="201" t="s">
        <v>351</v>
      </c>
      <c r="BG182" s="202"/>
      <c r="BH182" s="202"/>
      <c r="BI182" s="203"/>
      <c r="BK182" s="1"/>
      <c r="BL182" s="1"/>
      <c r="BM182" s="1"/>
      <c r="BN182" s="1"/>
      <c r="BO182" s="1"/>
    </row>
    <row r="183" spans="1:67" s="6" customFormat="1" ht="68.25" customHeight="1">
      <c r="A183" s="175" t="s">
        <v>356</v>
      </c>
      <c r="B183" s="176"/>
      <c r="C183" s="176"/>
      <c r="D183" s="176"/>
      <c r="E183" s="224" t="s">
        <v>324</v>
      </c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6"/>
      <c r="BF183" s="201" t="s">
        <v>352</v>
      </c>
      <c r="BG183" s="202"/>
      <c r="BH183" s="202"/>
      <c r="BI183" s="203"/>
      <c r="BK183" s="1"/>
      <c r="BL183" s="1"/>
      <c r="BM183" s="1"/>
      <c r="BN183" s="1"/>
      <c r="BO183" s="1"/>
    </row>
    <row r="184" spans="1:67" s="6" customFormat="1" ht="33.75" customHeight="1">
      <c r="A184" s="175" t="s">
        <v>377</v>
      </c>
      <c r="B184" s="176"/>
      <c r="C184" s="176"/>
      <c r="D184" s="176"/>
      <c r="E184" s="224" t="s">
        <v>275</v>
      </c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6"/>
      <c r="BF184" s="201" t="s">
        <v>353</v>
      </c>
      <c r="BG184" s="202"/>
      <c r="BH184" s="202"/>
      <c r="BI184" s="203"/>
      <c r="BK184" s="1"/>
      <c r="BL184" s="1"/>
      <c r="BM184" s="1"/>
      <c r="BN184" s="1"/>
      <c r="BO184" s="1"/>
    </row>
    <row r="185" spans="1:67" s="6" customFormat="1" ht="37.5" customHeight="1" thickBot="1">
      <c r="A185" s="175" t="s">
        <v>378</v>
      </c>
      <c r="B185" s="176"/>
      <c r="C185" s="176"/>
      <c r="D185" s="177"/>
      <c r="E185" s="224" t="s">
        <v>274</v>
      </c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6"/>
      <c r="BF185" s="201" t="s">
        <v>375</v>
      </c>
      <c r="BG185" s="202"/>
      <c r="BH185" s="202"/>
      <c r="BI185" s="203"/>
      <c r="BK185" s="1"/>
      <c r="BL185" s="1"/>
      <c r="BM185" s="1"/>
      <c r="BN185" s="1"/>
      <c r="BO185" s="1"/>
    </row>
    <row r="186" spans="1:67" s="6" customFormat="1" ht="67.5" customHeight="1">
      <c r="A186" s="520" t="s">
        <v>258</v>
      </c>
      <c r="B186" s="521"/>
      <c r="C186" s="521"/>
      <c r="D186" s="522"/>
      <c r="E186" s="523" t="s">
        <v>287</v>
      </c>
      <c r="F186" s="524"/>
      <c r="G186" s="524"/>
      <c r="H186" s="524"/>
      <c r="I186" s="524"/>
      <c r="J186" s="524"/>
      <c r="K186" s="524"/>
      <c r="L186" s="524"/>
      <c r="M186" s="524"/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  <c r="X186" s="524"/>
      <c r="Y186" s="524"/>
      <c r="Z186" s="524"/>
      <c r="AA186" s="524"/>
      <c r="AB186" s="524"/>
      <c r="AC186" s="524"/>
      <c r="AD186" s="524"/>
      <c r="AE186" s="524"/>
      <c r="AF186" s="524"/>
      <c r="AG186" s="524"/>
      <c r="AH186" s="524"/>
      <c r="AI186" s="524"/>
      <c r="AJ186" s="524"/>
      <c r="AK186" s="524"/>
      <c r="AL186" s="524"/>
      <c r="AM186" s="524"/>
      <c r="AN186" s="524"/>
      <c r="AO186" s="524"/>
      <c r="AP186" s="524"/>
      <c r="AQ186" s="524"/>
      <c r="AR186" s="524"/>
      <c r="AS186" s="524"/>
      <c r="AT186" s="524"/>
      <c r="AU186" s="524"/>
      <c r="AV186" s="524"/>
      <c r="AW186" s="524"/>
      <c r="AX186" s="524"/>
      <c r="AY186" s="524"/>
      <c r="AZ186" s="524"/>
      <c r="BA186" s="524"/>
      <c r="BB186" s="524"/>
      <c r="BC186" s="524"/>
      <c r="BD186" s="524"/>
      <c r="BE186" s="524"/>
      <c r="BF186" s="525" t="s">
        <v>177</v>
      </c>
      <c r="BG186" s="526"/>
      <c r="BH186" s="526"/>
      <c r="BI186" s="527"/>
      <c r="BK186" s="1"/>
      <c r="BL186" s="1"/>
      <c r="BM186" s="1"/>
      <c r="BN186" s="1"/>
      <c r="BO186" s="1"/>
    </row>
    <row r="187" spans="1:67" s="6" customFormat="1" ht="33" customHeight="1">
      <c r="A187" s="175" t="s">
        <v>259</v>
      </c>
      <c r="B187" s="176"/>
      <c r="C187" s="176"/>
      <c r="D187" s="177"/>
      <c r="E187" s="178" t="s">
        <v>288</v>
      </c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9"/>
      <c r="BF187" s="201" t="s">
        <v>121</v>
      </c>
      <c r="BG187" s="202"/>
      <c r="BH187" s="202"/>
      <c r="BI187" s="203"/>
      <c r="BK187" s="1"/>
      <c r="BL187" s="1"/>
      <c r="BM187" s="1"/>
      <c r="BN187" s="1"/>
      <c r="BO187" s="1"/>
    </row>
    <row r="188" spans="1:67" s="6" customFormat="1" ht="33" customHeight="1">
      <c r="A188" s="175" t="s">
        <v>260</v>
      </c>
      <c r="B188" s="176"/>
      <c r="C188" s="176"/>
      <c r="D188" s="176"/>
      <c r="E188" s="224" t="s">
        <v>271</v>
      </c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6"/>
      <c r="BF188" s="201" t="s">
        <v>122</v>
      </c>
      <c r="BG188" s="202"/>
      <c r="BH188" s="202"/>
      <c r="BI188" s="203"/>
      <c r="BK188" s="1"/>
      <c r="BL188" s="1"/>
      <c r="BM188" s="1"/>
      <c r="BN188" s="1"/>
      <c r="BO188" s="1"/>
    </row>
    <row r="189" spans="1:67" s="6" customFormat="1" ht="37.5" customHeight="1">
      <c r="A189" s="175" t="s">
        <v>261</v>
      </c>
      <c r="B189" s="176"/>
      <c r="C189" s="176"/>
      <c r="D189" s="176"/>
      <c r="E189" s="224" t="s">
        <v>272</v>
      </c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6"/>
      <c r="BF189" s="201" t="s">
        <v>233</v>
      </c>
      <c r="BG189" s="202"/>
      <c r="BH189" s="202"/>
      <c r="BI189" s="203"/>
      <c r="BK189" s="1"/>
      <c r="BL189" s="1"/>
      <c r="BM189" s="1"/>
      <c r="BN189" s="1"/>
      <c r="BO189" s="1"/>
    </row>
    <row r="190" spans="1:67" s="6" customFormat="1" ht="41.25" customHeight="1">
      <c r="A190" s="175" t="s">
        <v>257</v>
      </c>
      <c r="B190" s="176"/>
      <c r="C190" s="176"/>
      <c r="D190" s="176"/>
      <c r="E190" s="224" t="s">
        <v>267</v>
      </c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6"/>
      <c r="BF190" s="201" t="s">
        <v>124</v>
      </c>
      <c r="BG190" s="202"/>
      <c r="BH190" s="202"/>
      <c r="BI190" s="203"/>
      <c r="BK190" s="1"/>
      <c r="BL190" s="1"/>
      <c r="BM190" s="1"/>
      <c r="BN190" s="1"/>
      <c r="BO190" s="1"/>
    </row>
    <row r="191" spans="1:67" s="6" customFormat="1" ht="39.75" customHeight="1">
      <c r="A191" s="175" t="s">
        <v>256</v>
      </c>
      <c r="B191" s="176"/>
      <c r="C191" s="176"/>
      <c r="D191" s="176"/>
      <c r="E191" s="224" t="s">
        <v>268</v>
      </c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6"/>
      <c r="BF191" s="201" t="s">
        <v>125</v>
      </c>
      <c r="BG191" s="202"/>
      <c r="BH191" s="202"/>
      <c r="BI191" s="203"/>
      <c r="BK191" s="1"/>
      <c r="BL191" s="1"/>
      <c r="BM191" s="1"/>
      <c r="BN191" s="1"/>
      <c r="BO191" s="1"/>
    </row>
    <row r="192" spans="1:67" s="6" customFormat="1" ht="67.5" customHeight="1">
      <c r="A192" s="175" t="s">
        <v>255</v>
      </c>
      <c r="B192" s="176"/>
      <c r="C192" s="176"/>
      <c r="D192" s="176"/>
      <c r="E192" s="224" t="s">
        <v>266</v>
      </c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6"/>
      <c r="BF192" s="201" t="s">
        <v>131</v>
      </c>
      <c r="BG192" s="202"/>
      <c r="BH192" s="202"/>
      <c r="BI192" s="203"/>
      <c r="BK192" s="1"/>
      <c r="BL192" s="1"/>
      <c r="BM192" s="1"/>
      <c r="BN192" s="1"/>
      <c r="BO192" s="1"/>
    </row>
    <row r="193" spans="1:67" s="6" customFormat="1" ht="39.75" customHeight="1">
      <c r="A193" s="175" t="s">
        <v>253</v>
      </c>
      <c r="B193" s="176"/>
      <c r="C193" s="176"/>
      <c r="D193" s="176"/>
      <c r="E193" s="224" t="s">
        <v>269</v>
      </c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6"/>
      <c r="BF193" s="201" t="s">
        <v>132</v>
      </c>
      <c r="BG193" s="202"/>
      <c r="BH193" s="202"/>
      <c r="BI193" s="203"/>
      <c r="BK193" s="1"/>
      <c r="BL193" s="1"/>
      <c r="BM193" s="1"/>
      <c r="BN193" s="1"/>
      <c r="BO193" s="1"/>
    </row>
    <row r="194" spans="1:67" s="6" customFormat="1" ht="39.75" customHeight="1">
      <c r="A194" s="175" t="s">
        <v>254</v>
      </c>
      <c r="B194" s="176"/>
      <c r="C194" s="176"/>
      <c r="D194" s="176"/>
      <c r="E194" s="224" t="s">
        <v>270</v>
      </c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6"/>
      <c r="BF194" s="201" t="s">
        <v>133</v>
      </c>
      <c r="BG194" s="202"/>
      <c r="BH194" s="202"/>
      <c r="BI194" s="203"/>
      <c r="BK194" s="1"/>
      <c r="BL194" s="1"/>
      <c r="BM194" s="1"/>
      <c r="BN194" s="1"/>
      <c r="BO194" s="1"/>
    </row>
    <row r="195" spans="1:67" s="6" customFormat="1" ht="33" customHeight="1">
      <c r="A195" s="175" t="s">
        <v>252</v>
      </c>
      <c r="B195" s="176"/>
      <c r="C195" s="176"/>
      <c r="D195" s="177"/>
      <c r="E195" s="224" t="s">
        <v>262</v>
      </c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6"/>
      <c r="BF195" s="201" t="s">
        <v>250</v>
      </c>
      <c r="BG195" s="202"/>
      <c r="BH195" s="202"/>
      <c r="BI195" s="203"/>
      <c r="BK195" s="1"/>
      <c r="BL195" s="1"/>
      <c r="BM195" s="1"/>
      <c r="BN195" s="1"/>
      <c r="BO195" s="1"/>
    </row>
    <row r="196" spans="1:67" s="6" customFormat="1" ht="65.25" customHeight="1">
      <c r="A196" s="175" t="s">
        <v>251</v>
      </c>
      <c r="B196" s="176"/>
      <c r="C196" s="176"/>
      <c r="D196" s="177"/>
      <c r="E196" s="224" t="s">
        <v>264</v>
      </c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6"/>
      <c r="BF196" s="201" t="s">
        <v>182</v>
      </c>
      <c r="BG196" s="202"/>
      <c r="BH196" s="202"/>
      <c r="BI196" s="203"/>
      <c r="BK196" s="1"/>
      <c r="BL196" s="1"/>
      <c r="BM196" s="1"/>
      <c r="BN196" s="1"/>
      <c r="BO196" s="1"/>
    </row>
    <row r="197" spans="1:67" s="6" customFormat="1" ht="37.5" customHeight="1">
      <c r="A197" s="175" t="s">
        <v>405</v>
      </c>
      <c r="B197" s="176"/>
      <c r="C197" s="176"/>
      <c r="D197" s="177"/>
      <c r="E197" s="224" t="s">
        <v>263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6"/>
      <c r="BF197" s="201" t="s">
        <v>183</v>
      </c>
      <c r="BG197" s="202"/>
      <c r="BH197" s="202"/>
      <c r="BI197" s="203"/>
      <c r="BK197" s="1"/>
      <c r="BL197" s="1"/>
      <c r="BM197" s="1"/>
      <c r="BN197" s="1"/>
      <c r="BO197" s="1"/>
    </row>
    <row r="198" spans="1:67" s="6" customFormat="1" ht="69.75" customHeight="1">
      <c r="A198" s="175" t="s">
        <v>406</v>
      </c>
      <c r="B198" s="176"/>
      <c r="C198" s="176"/>
      <c r="D198" s="177"/>
      <c r="E198" s="224" t="s">
        <v>265</v>
      </c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6"/>
      <c r="BF198" s="201" t="s">
        <v>184</v>
      </c>
      <c r="BG198" s="202"/>
      <c r="BH198" s="202"/>
      <c r="BI198" s="203"/>
      <c r="BK198" s="1"/>
      <c r="BL198" s="1"/>
      <c r="BM198" s="1"/>
      <c r="BN198" s="1"/>
      <c r="BO198" s="1"/>
    </row>
    <row r="199" spans="1:67" s="6" customFormat="1" ht="30.75" customHeight="1">
      <c r="A199" s="91"/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3"/>
      <c r="BG199" s="93"/>
      <c r="BH199" s="93"/>
      <c r="BI199" s="93"/>
      <c r="BK199" s="1"/>
      <c r="BL199" s="1"/>
      <c r="BM199" s="1"/>
      <c r="BN199" s="1"/>
      <c r="BO199" s="1"/>
    </row>
    <row r="200" spans="1:67" s="6" customFormat="1" ht="28.5" customHeight="1">
      <c r="A200" s="427" t="s">
        <v>398</v>
      </c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27"/>
      <c r="AO200" s="427"/>
      <c r="AP200" s="427"/>
      <c r="AQ200" s="427"/>
      <c r="AR200" s="427"/>
      <c r="AS200" s="427"/>
      <c r="AT200" s="427"/>
      <c r="AU200" s="427"/>
      <c r="AV200" s="427"/>
      <c r="AW200" s="427"/>
      <c r="AX200" s="427"/>
      <c r="AY200" s="427"/>
      <c r="AZ200" s="427"/>
      <c r="BA200" s="427"/>
      <c r="BB200" s="427"/>
      <c r="BC200" s="427"/>
      <c r="BD200" s="427"/>
      <c r="BE200" s="427"/>
      <c r="BF200" s="427"/>
      <c r="BG200" s="427"/>
      <c r="BH200" s="427"/>
      <c r="BI200" s="427"/>
      <c r="BK200" s="1"/>
      <c r="BL200" s="1"/>
      <c r="BM200" s="1"/>
      <c r="BN200" s="1"/>
      <c r="BO200" s="1"/>
    </row>
    <row r="201" spans="1:67" s="6" customFormat="1" ht="33" customHeight="1">
      <c r="A201" s="426" t="s">
        <v>385</v>
      </c>
      <c r="B201" s="427"/>
      <c r="C201" s="427"/>
      <c r="D201" s="427"/>
      <c r="E201" s="427"/>
      <c r="F201" s="427"/>
      <c r="G201" s="427"/>
      <c r="H201" s="427"/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7"/>
      <c r="BD201" s="427"/>
      <c r="BE201" s="427"/>
      <c r="BF201" s="427"/>
      <c r="BG201" s="427"/>
      <c r="BH201" s="427"/>
      <c r="BI201" s="427"/>
      <c r="BK201" s="1"/>
      <c r="BL201" s="1"/>
      <c r="BM201" s="1"/>
      <c r="BN201" s="1"/>
      <c r="BO201" s="1"/>
    </row>
    <row r="202" spans="1:67" s="6" customFormat="1" ht="32.25" customHeight="1">
      <c r="A202" s="426" t="s">
        <v>386</v>
      </c>
      <c r="B202" s="427"/>
      <c r="C202" s="427"/>
      <c r="D202" s="427"/>
      <c r="E202" s="427"/>
      <c r="F202" s="427"/>
      <c r="G202" s="427"/>
      <c r="H202" s="427"/>
      <c r="I202" s="427"/>
      <c r="J202" s="427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  <c r="AK202" s="427"/>
      <c r="AL202" s="427"/>
      <c r="AM202" s="427"/>
      <c r="AN202" s="427"/>
      <c r="AO202" s="427"/>
      <c r="AP202" s="427"/>
      <c r="AQ202" s="427"/>
      <c r="AR202" s="427"/>
      <c r="AS202" s="427"/>
      <c r="AT202" s="427"/>
      <c r="AU202" s="427"/>
      <c r="AV202" s="427"/>
      <c r="AW202" s="427"/>
      <c r="AX202" s="427"/>
      <c r="AY202" s="427"/>
      <c r="AZ202" s="427"/>
      <c r="BA202" s="427"/>
      <c r="BB202" s="427"/>
      <c r="BC202" s="427"/>
      <c r="BD202" s="427"/>
      <c r="BE202" s="427"/>
      <c r="BF202" s="427"/>
      <c r="BG202" s="427"/>
      <c r="BH202" s="427"/>
      <c r="BI202" s="427"/>
      <c r="BK202" s="1"/>
      <c r="BL202" s="1"/>
      <c r="BM202" s="1"/>
      <c r="BN202" s="1"/>
      <c r="BO202" s="1"/>
    </row>
    <row r="203" spans="1:67" s="6" customFormat="1" ht="27.75" customHeight="1">
      <c r="A203" s="427" t="s">
        <v>332</v>
      </c>
      <c r="B203" s="427"/>
      <c r="C203" s="427"/>
      <c r="D203" s="427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27"/>
      <c r="AV203" s="427"/>
      <c r="AW203" s="427"/>
      <c r="AX203" s="427"/>
      <c r="AY203" s="427"/>
      <c r="AZ203" s="427"/>
      <c r="BA203" s="427"/>
      <c r="BB203" s="427"/>
      <c r="BC203" s="427"/>
      <c r="BD203" s="427"/>
      <c r="BE203" s="427"/>
      <c r="BF203" s="427"/>
      <c r="BG203" s="427"/>
      <c r="BH203" s="427"/>
      <c r="BI203" s="427"/>
      <c r="BK203" s="1"/>
      <c r="BL203" s="1"/>
      <c r="BM203" s="1"/>
      <c r="BN203" s="1"/>
      <c r="BO203" s="1"/>
    </row>
    <row r="204" spans="1:67" s="6" customFormat="1" ht="28.5" customHeight="1">
      <c r="A204" s="427" t="s">
        <v>333</v>
      </c>
      <c r="B204" s="427"/>
      <c r="C204" s="427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27"/>
      <c r="AO204" s="427"/>
      <c r="AP204" s="427"/>
      <c r="AQ204" s="427"/>
      <c r="AR204" s="427"/>
      <c r="AS204" s="427"/>
      <c r="AT204" s="427"/>
      <c r="AU204" s="427"/>
      <c r="AV204" s="427"/>
      <c r="AW204" s="427"/>
      <c r="AX204" s="427"/>
      <c r="AY204" s="427"/>
      <c r="AZ204" s="427"/>
      <c r="BA204" s="427"/>
      <c r="BB204" s="427"/>
      <c r="BC204" s="427"/>
      <c r="BD204" s="427"/>
      <c r="BE204" s="427"/>
      <c r="BF204" s="427"/>
      <c r="BG204" s="427"/>
      <c r="BH204" s="427"/>
      <c r="BI204" s="427"/>
      <c r="BK204" s="1"/>
      <c r="BL204" s="1"/>
      <c r="BM204" s="1"/>
      <c r="BN204" s="1"/>
      <c r="BO204" s="1"/>
    </row>
    <row r="205" spans="1:67" s="6" customFormat="1" ht="27" customHeight="1">
      <c r="A205" s="427" t="s">
        <v>334</v>
      </c>
      <c r="B205" s="427"/>
      <c r="C205" s="427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  <c r="AK205" s="427"/>
      <c r="AL205" s="427"/>
      <c r="AM205" s="427"/>
      <c r="AN205" s="427"/>
      <c r="AO205" s="427"/>
      <c r="AP205" s="427"/>
      <c r="AQ205" s="427"/>
      <c r="AR205" s="427"/>
      <c r="AS205" s="427"/>
      <c r="AT205" s="427"/>
      <c r="AU205" s="427"/>
      <c r="AV205" s="427"/>
      <c r="AW205" s="427"/>
      <c r="AX205" s="427"/>
      <c r="AY205" s="427"/>
      <c r="AZ205" s="427"/>
      <c r="BA205" s="427"/>
      <c r="BB205" s="427"/>
      <c r="BC205" s="427"/>
      <c r="BD205" s="427"/>
      <c r="BE205" s="427"/>
      <c r="BF205" s="427"/>
      <c r="BG205" s="427"/>
      <c r="BH205" s="427"/>
      <c r="BI205" s="427"/>
      <c r="BK205" s="1"/>
      <c r="BL205" s="1"/>
      <c r="BM205" s="1"/>
      <c r="BN205" s="1"/>
      <c r="BO205" s="1"/>
    </row>
    <row r="206" spans="1:67" s="6" customFormat="1" ht="27" customHeight="1">
      <c r="A206" s="427" t="s">
        <v>335</v>
      </c>
      <c r="B206" s="427"/>
      <c r="C206" s="427"/>
      <c r="D206" s="427"/>
      <c r="E206" s="427"/>
      <c r="F206" s="427"/>
      <c r="G206" s="427"/>
      <c r="H206" s="427"/>
      <c r="I206" s="427"/>
      <c r="J206" s="427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427"/>
      <c r="V206" s="427"/>
      <c r="W206" s="427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27"/>
      <c r="AK206" s="427"/>
      <c r="AL206" s="427"/>
      <c r="AM206" s="427"/>
      <c r="AN206" s="427"/>
      <c r="AO206" s="427"/>
      <c r="AP206" s="427"/>
      <c r="AQ206" s="427"/>
      <c r="AR206" s="427"/>
      <c r="AS206" s="427"/>
      <c r="AT206" s="427"/>
      <c r="AU206" s="427"/>
      <c r="AV206" s="427"/>
      <c r="AW206" s="427"/>
      <c r="AX206" s="427"/>
      <c r="AY206" s="427"/>
      <c r="AZ206" s="427"/>
      <c r="BA206" s="427"/>
      <c r="BB206" s="427"/>
      <c r="BC206" s="427"/>
      <c r="BD206" s="427"/>
      <c r="BE206" s="427"/>
      <c r="BF206" s="427"/>
      <c r="BG206" s="427"/>
      <c r="BH206" s="427"/>
      <c r="BI206" s="427"/>
      <c r="BK206" s="1"/>
      <c r="BL206" s="1"/>
      <c r="BM206" s="1"/>
      <c r="BN206" s="1"/>
      <c r="BO206" s="1"/>
    </row>
    <row r="207" spans="1:67" s="6" customFormat="1" ht="30.75" customHeight="1">
      <c r="A207" s="427" t="s">
        <v>336</v>
      </c>
      <c r="B207" s="427"/>
      <c r="C207" s="427"/>
      <c r="D207" s="427"/>
      <c r="E207" s="427"/>
      <c r="F207" s="427"/>
      <c r="G207" s="427"/>
      <c r="H207" s="427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427"/>
      <c r="V207" s="427"/>
      <c r="W207" s="427"/>
      <c r="X207" s="427"/>
      <c r="Y207" s="427"/>
      <c r="Z207" s="427"/>
      <c r="AA207" s="427"/>
      <c r="AB207" s="427"/>
      <c r="AC207" s="427"/>
      <c r="AD207" s="427"/>
      <c r="AE207" s="427"/>
      <c r="AF207" s="427"/>
      <c r="AG207" s="427"/>
      <c r="AH207" s="427"/>
      <c r="AI207" s="427"/>
      <c r="AJ207" s="427"/>
      <c r="AK207" s="427"/>
      <c r="AL207" s="427"/>
      <c r="AM207" s="427"/>
      <c r="AN207" s="427"/>
      <c r="AO207" s="427"/>
      <c r="AP207" s="427"/>
      <c r="AQ207" s="427"/>
      <c r="AR207" s="427"/>
      <c r="AS207" s="427"/>
      <c r="AT207" s="427"/>
      <c r="AU207" s="427"/>
      <c r="AV207" s="427"/>
      <c r="AW207" s="427"/>
      <c r="AX207" s="427"/>
      <c r="AY207" s="427"/>
      <c r="AZ207" s="427"/>
      <c r="BA207" s="427"/>
      <c r="BB207" s="427"/>
      <c r="BC207" s="427"/>
      <c r="BD207" s="427"/>
      <c r="BE207" s="427"/>
      <c r="BF207" s="427"/>
      <c r="BG207" s="427"/>
      <c r="BH207" s="427"/>
      <c r="BI207" s="427"/>
      <c r="BK207" s="1"/>
      <c r="BL207" s="1"/>
      <c r="BM207" s="1"/>
      <c r="BN207" s="1"/>
      <c r="BO207" s="1"/>
    </row>
    <row r="208" spans="1:67" s="6" customFormat="1" ht="31.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41"/>
      <c r="S208" s="41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4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K208" s="1"/>
      <c r="BL208" s="1"/>
      <c r="BM208" s="1"/>
      <c r="BN208" s="1"/>
      <c r="BO208" s="1"/>
    </row>
    <row r="209" spans="1:67" s="6" customFormat="1" ht="33.75" customHeight="1">
      <c r="A209" s="349" t="s">
        <v>110</v>
      </c>
      <c r="B209" s="349"/>
      <c r="C209" s="349"/>
      <c r="D209" s="349"/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49"/>
      <c r="T209" s="349"/>
      <c r="U209" s="349"/>
      <c r="V209" s="349"/>
      <c r="W209" s="349"/>
      <c r="X209" s="349"/>
      <c r="Y209" s="349"/>
      <c r="Z209" s="349"/>
      <c r="AA209" s="349"/>
      <c r="AB209" s="349"/>
      <c r="AC209" s="349"/>
      <c r="AD209" s="349"/>
      <c r="AE209" s="349"/>
      <c r="AF209" s="349"/>
      <c r="AG209" s="62"/>
      <c r="AH209" s="62"/>
      <c r="AI209" s="62"/>
      <c r="AJ209" s="349" t="s">
        <v>110</v>
      </c>
      <c r="AK209" s="349"/>
      <c r="AL209" s="349"/>
      <c r="AM209" s="349"/>
      <c r="AN209" s="349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K209" s="1"/>
      <c r="BL209" s="1"/>
      <c r="BM209" s="1"/>
      <c r="BN209" s="1"/>
      <c r="BO209" s="1"/>
    </row>
    <row r="210" spans="1:67" s="6" customFormat="1" ht="36" customHeight="1">
      <c r="A210" s="532" t="s">
        <v>409</v>
      </c>
      <c r="B210" s="532"/>
      <c r="C210" s="532"/>
      <c r="D210" s="532"/>
      <c r="E210" s="532"/>
      <c r="F210" s="532"/>
      <c r="G210" s="532"/>
      <c r="H210" s="532"/>
      <c r="I210" s="532"/>
      <c r="J210" s="532"/>
      <c r="K210" s="532"/>
      <c r="L210" s="532"/>
      <c r="M210" s="532"/>
      <c r="N210" s="532"/>
      <c r="O210" s="532"/>
      <c r="P210" s="532"/>
      <c r="Q210" s="532"/>
      <c r="R210" s="532"/>
      <c r="S210" s="532"/>
      <c r="T210" s="532"/>
      <c r="U210" s="532"/>
      <c r="V210" s="532"/>
      <c r="W210" s="532"/>
      <c r="X210" s="532"/>
      <c r="Y210" s="42"/>
      <c r="Z210" s="42"/>
      <c r="AA210" s="42"/>
      <c r="AB210" s="42"/>
      <c r="AC210" s="42"/>
      <c r="AD210" s="42"/>
      <c r="AE210" s="42"/>
      <c r="AF210" s="42"/>
      <c r="AG210" s="62"/>
      <c r="AH210" s="62"/>
      <c r="AI210" s="62"/>
      <c r="AJ210" s="532" t="s">
        <v>413</v>
      </c>
      <c r="AK210" s="532"/>
      <c r="AL210" s="532"/>
      <c r="AM210" s="532"/>
      <c r="AN210" s="532"/>
      <c r="AO210" s="532"/>
      <c r="AP210" s="532"/>
      <c r="AQ210" s="532"/>
      <c r="AR210" s="532"/>
      <c r="AS210" s="532"/>
      <c r="AT210" s="532"/>
      <c r="AU210" s="532"/>
      <c r="AV210" s="532"/>
      <c r="AW210" s="532"/>
      <c r="AX210" s="42"/>
      <c r="AY210" s="42"/>
      <c r="AZ210" s="42"/>
      <c r="BA210" s="42"/>
      <c r="BB210" s="42"/>
      <c r="BC210" s="42"/>
      <c r="BD210" s="42"/>
      <c r="BE210" s="42"/>
      <c r="BF210" s="62"/>
      <c r="BG210" s="62"/>
      <c r="BH210" s="62"/>
      <c r="BI210" s="62"/>
      <c r="BK210" s="1"/>
      <c r="BL210" s="1"/>
      <c r="BM210" s="1"/>
      <c r="BN210" s="1"/>
      <c r="BO210" s="1"/>
    </row>
    <row r="211" spans="1:67" s="6" customFormat="1" ht="41.25" customHeight="1">
      <c r="A211" s="533"/>
      <c r="B211" s="533"/>
      <c r="C211" s="533"/>
      <c r="D211" s="533"/>
      <c r="E211" s="533"/>
      <c r="F211" s="533"/>
      <c r="G211" s="62"/>
      <c r="H211" s="533" t="s">
        <v>195</v>
      </c>
      <c r="I211" s="533"/>
      <c r="J211" s="533"/>
      <c r="K211" s="533"/>
      <c r="L211" s="533"/>
      <c r="M211" s="533"/>
      <c r="N211" s="533"/>
      <c r="O211" s="533"/>
      <c r="P211" s="62"/>
      <c r="Q211" s="62"/>
      <c r="R211" s="41"/>
      <c r="S211" s="41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4"/>
      <c r="AF211" s="62"/>
      <c r="AG211" s="62"/>
      <c r="AH211" s="62"/>
      <c r="AI211" s="62"/>
      <c r="AJ211" s="532"/>
      <c r="AK211" s="532"/>
      <c r="AL211" s="532"/>
      <c r="AM211" s="532"/>
      <c r="AN211" s="532"/>
      <c r="AO211" s="532"/>
      <c r="AP211" s="532"/>
      <c r="AQ211" s="532"/>
      <c r="AR211" s="532"/>
      <c r="AS211" s="532"/>
      <c r="AT211" s="532"/>
      <c r="AU211" s="532"/>
      <c r="AV211" s="532"/>
      <c r="AW211" s="532"/>
      <c r="AX211" s="42"/>
      <c r="AY211" s="42"/>
      <c r="AZ211" s="42"/>
      <c r="BA211" s="42"/>
      <c r="BB211" s="42"/>
      <c r="BC211" s="42"/>
      <c r="BD211" s="42"/>
      <c r="BE211" s="42"/>
      <c r="BF211" s="62"/>
      <c r="BG211" s="62"/>
      <c r="BH211" s="62"/>
      <c r="BI211" s="62"/>
      <c r="BK211" s="1"/>
      <c r="BL211" s="1"/>
      <c r="BM211" s="1"/>
      <c r="BN211" s="1"/>
      <c r="BO211" s="1"/>
    </row>
    <row r="212" spans="1:67" s="6" customFormat="1" ht="35.25" customHeight="1">
      <c r="A212" s="348" t="s">
        <v>111</v>
      </c>
      <c r="B212" s="348"/>
      <c r="C212" s="348"/>
      <c r="D212" s="348"/>
      <c r="E212" s="348"/>
      <c r="F212" s="348"/>
      <c r="G212" s="62"/>
      <c r="H212" s="348"/>
      <c r="I212" s="348"/>
      <c r="J212" s="348"/>
      <c r="K212" s="348"/>
      <c r="L212" s="348"/>
      <c r="M212" s="348"/>
      <c r="N212" s="348"/>
      <c r="O212" s="348"/>
      <c r="P212" s="62"/>
      <c r="Q212" s="62"/>
      <c r="R212" s="41"/>
      <c r="S212" s="41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4"/>
      <c r="AF212" s="62"/>
      <c r="AG212" s="62"/>
      <c r="AH212" s="62"/>
      <c r="AI212" s="62"/>
      <c r="AJ212" s="533"/>
      <c r="AK212" s="533"/>
      <c r="AL212" s="533"/>
      <c r="AM212" s="533"/>
      <c r="AN212" s="533"/>
      <c r="AO212" s="533"/>
      <c r="AP212" s="42"/>
      <c r="AQ212" s="533" t="s">
        <v>330</v>
      </c>
      <c r="AR212" s="533"/>
      <c r="AS212" s="533"/>
      <c r="AT212" s="533"/>
      <c r="AU212" s="533"/>
      <c r="AV212" s="533"/>
      <c r="AW212" s="42"/>
      <c r="AX212" s="42"/>
      <c r="AY212" s="42"/>
      <c r="AZ212" s="42"/>
      <c r="BA212" s="42"/>
      <c r="BB212" s="42"/>
      <c r="BC212" s="42"/>
      <c r="BD212" s="42"/>
      <c r="BE212" s="42"/>
      <c r="BF212" s="62"/>
      <c r="BG212" s="62"/>
      <c r="BH212" s="62"/>
      <c r="BI212" s="62"/>
      <c r="BK212" s="1"/>
      <c r="BL212" s="1"/>
      <c r="BM212" s="1"/>
      <c r="BN212" s="1"/>
      <c r="BO212" s="1"/>
    </row>
    <row r="213" spans="1:67" s="6" customFormat="1" ht="27.75" customHeight="1">
      <c r="A213" s="533"/>
      <c r="B213" s="533"/>
      <c r="C213" s="533"/>
      <c r="D213" s="533"/>
      <c r="E213" s="533"/>
      <c r="F213" s="533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41"/>
      <c r="S213" s="41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4"/>
      <c r="AF213" s="62"/>
      <c r="AG213" s="62"/>
      <c r="AH213" s="62"/>
      <c r="AI213" s="62"/>
      <c r="AJ213" s="348" t="s">
        <v>113</v>
      </c>
      <c r="AK213" s="348"/>
      <c r="AL213" s="348"/>
      <c r="AM213" s="348"/>
      <c r="AN213" s="348"/>
      <c r="AO213" s="348"/>
      <c r="AP213" s="62"/>
      <c r="AQ213" s="348" t="s">
        <v>399</v>
      </c>
      <c r="AR213" s="348"/>
      <c r="AS213" s="348"/>
      <c r="AT213" s="348"/>
      <c r="AU213" s="348"/>
      <c r="AV213" s="348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K213" s="1"/>
      <c r="BL213" s="1"/>
      <c r="BM213" s="1"/>
      <c r="BN213" s="1"/>
      <c r="BO213" s="1"/>
    </row>
    <row r="214" spans="1:67" s="6" customFormat="1" ht="27" customHeight="1">
      <c r="A214" s="348" t="s">
        <v>112</v>
      </c>
      <c r="B214" s="348"/>
      <c r="C214" s="348"/>
      <c r="D214" s="348"/>
      <c r="E214" s="348"/>
      <c r="F214" s="348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41"/>
      <c r="S214" s="41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4"/>
      <c r="AF214" s="62"/>
      <c r="AG214" s="62"/>
      <c r="AH214" s="62"/>
      <c r="AI214" s="62"/>
      <c r="AJ214" s="533"/>
      <c r="AK214" s="533"/>
      <c r="AL214" s="533"/>
      <c r="AM214" s="533"/>
      <c r="AN214" s="533"/>
      <c r="AO214" s="533"/>
      <c r="AP214" s="62"/>
      <c r="AQ214" s="1"/>
      <c r="AR214" s="1"/>
      <c r="AS214" s="1"/>
      <c r="AT214" s="1"/>
      <c r="AU214" s="1"/>
      <c r="AV214" s="1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K214" s="1"/>
      <c r="BL214" s="1"/>
      <c r="BM214" s="1"/>
      <c r="BN214" s="1"/>
      <c r="BO214" s="1"/>
    </row>
    <row r="215" spans="1:67" s="6" customFormat="1" ht="33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64"/>
      <c r="Z215" s="64"/>
      <c r="AA215" s="64"/>
      <c r="AB215" s="64"/>
      <c r="AC215" s="64"/>
      <c r="AD215" s="62"/>
      <c r="AE215" s="64"/>
      <c r="AF215" s="62"/>
      <c r="AG215" s="62"/>
      <c r="AH215" s="62"/>
      <c r="AI215" s="62"/>
      <c r="AJ215" s="348" t="s">
        <v>112</v>
      </c>
      <c r="AK215" s="348"/>
      <c r="AL215" s="348"/>
      <c r="AM215" s="348"/>
      <c r="AN215" s="348"/>
      <c r="AO215" s="348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K215" s="1"/>
      <c r="BL215" s="1"/>
      <c r="BM215" s="1"/>
      <c r="BN215" s="1"/>
      <c r="BO215" s="1"/>
    </row>
    <row r="216" spans="1:67" s="6" customFormat="1" ht="66" customHeight="1">
      <c r="A216" s="532" t="s">
        <v>411</v>
      </c>
      <c r="B216" s="532"/>
      <c r="C216" s="532"/>
      <c r="D216" s="532"/>
      <c r="E216" s="532"/>
      <c r="F216" s="532"/>
      <c r="G216" s="532"/>
      <c r="H216" s="532"/>
      <c r="I216" s="532"/>
      <c r="J216" s="532"/>
      <c r="K216" s="532"/>
      <c r="L216" s="532"/>
      <c r="M216" s="532"/>
      <c r="N216" s="532"/>
      <c r="O216" s="532"/>
      <c r="P216" s="532"/>
      <c r="Q216" s="532"/>
      <c r="R216" s="532"/>
      <c r="S216" s="532"/>
      <c r="T216" s="532"/>
      <c r="U216" s="532"/>
      <c r="V216" s="532"/>
      <c r="W216" s="532"/>
      <c r="X216" s="532"/>
      <c r="Y216" s="42"/>
      <c r="Z216" s="42"/>
      <c r="AA216" s="42"/>
      <c r="AB216" s="42"/>
      <c r="AC216" s="42"/>
      <c r="AD216" s="42"/>
      <c r="AE216" s="42"/>
      <c r="AF216" s="42"/>
      <c r="AG216" s="62"/>
      <c r="AH216" s="62"/>
      <c r="AI216" s="62"/>
      <c r="AJ216" s="532" t="s">
        <v>134</v>
      </c>
      <c r="AK216" s="532"/>
      <c r="AL216" s="532"/>
      <c r="AM216" s="532"/>
      <c r="AN216" s="532"/>
      <c r="AO216" s="532"/>
      <c r="AP216" s="532"/>
      <c r="AQ216" s="532"/>
      <c r="AR216" s="532"/>
      <c r="AS216" s="532"/>
      <c r="AT216" s="532"/>
      <c r="AU216" s="532"/>
      <c r="AV216" s="532"/>
      <c r="AW216" s="53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K216" s="1"/>
      <c r="BL216" s="1"/>
      <c r="BM216" s="1"/>
      <c r="BN216" s="1"/>
      <c r="BO216" s="1"/>
    </row>
    <row r="217" spans="1:67" s="6" customFormat="1" ht="33" customHeight="1">
      <c r="A217" s="532"/>
      <c r="B217" s="532"/>
      <c r="C217" s="532"/>
      <c r="D217" s="532"/>
      <c r="E217" s="532"/>
      <c r="F217" s="532"/>
      <c r="G217" s="532"/>
      <c r="H217" s="532"/>
      <c r="I217" s="532"/>
      <c r="J217" s="532"/>
      <c r="K217" s="532"/>
      <c r="L217" s="532"/>
      <c r="M217" s="532"/>
      <c r="N217" s="532"/>
      <c r="O217" s="532"/>
      <c r="P217" s="532"/>
      <c r="Q217" s="532"/>
      <c r="R217" s="532"/>
      <c r="S217" s="532"/>
      <c r="T217" s="532"/>
      <c r="U217" s="532"/>
      <c r="V217" s="532"/>
      <c r="W217" s="532"/>
      <c r="X217" s="532"/>
      <c r="Y217" s="42"/>
      <c r="Z217" s="42"/>
      <c r="AA217" s="42"/>
      <c r="AB217" s="42"/>
      <c r="AC217" s="42"/>
      <c r="AD217" s="42"/>
      <c r="AE217" s="42"/>
      <c r="AF217" s="42"/>
      <c r="AG217" s="62"/>
      <c r="AH217" s="62"/>
      <c r="AI217" s="62"/>
      <c r="AJ217" s="532"/>
      <c r="AK217" s="532"/>
      <c r="AL217" s="532"/>
      <c r="AM217" s="532"/>
      <c r="AN217" s="532"/>
      <c r="AO217" s="532"/>
      <c r="AP217" s="532"/>
      <c r="AQ217" s="532"/>
      <c r="AR217" s="532"/>
      <c r="AS217" s="532"/>
      <c r="AT217" s="532"/>
      <c r="AU217" s="532"/>
      <c r="AV217" s="532"/>
      <c r="AW217" s="53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K217" s="1"/>
      <c r="BL217" s="1"/>
      <c r="BM217" s="1"/>
      <c r="BN217" s="1"/>
      <c r="BO217" s="1"/>
    </row>
    <row r="218" spans="1:67" s="6" customFormat="1" ht="41.25" customHeight="1">
      <c r="A218" s="533"/>
      <c r="B218" s="533"/>
      <c r="C218" s="533"/>
      <c r="D218" s="533"/>
      <c r="E218" s="533"/>
      <c r="F218" s="533"/>
      <c r="G218" s="62"/>
      <c r="H218" s="546" t="s">
        <v>225</v>
      </c>
      <c r="I218" s="546"/>
      <c r="J218" s="546"/>
      <c r="K218" s="546"/>
      <c r="L218" s="546"/>
      <c r="M218" s="546"/>
      <c r="N218" s="546"/>
      <c r="O218" s="546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62"/>
      <c r="AE218" s="64"/>
      <c r="AF218" s="62"/>
      <c r="AG218" s="62"/>
      <c r="AH218" s="62"/>
      <c r="AI218" s="62"/>
      <c r="AJ218" s="533"/>
      <c r="AK218" s="533"/>
      <c r="AL218" s="533"/>
      <c r="AM218" s="533"/>
      <c r="AN218" s="533"/>
      <c r="AO218" s="533"/>
      <c r="AP218" s="70"/>
      <c r="AQ218" s="546" t="s">
        <v>329</v>
      </c>
      <c r="AR218" s="546"/>
      <c r="AS218" s="546"/>
      <c r="AT218" s="546"/>
      <c r="AU218" s="546"/>
      <c r="AV218" s="546"/>
      <c r="AW218" s="70"/>
      <c r="AX218" s="70"/>
      <c r="AY218" s="70"/>
      <c r="AZ218" s="70"/>
      <c r="BA218" s="70"/>
      <c r="BB218" s="70"/>
      <c r="BC218" s="70"/>
      <c r="BD218" s="42"/>
      <c r="BE218" s="42"/>
      <c r="BF218" s="70"/>
      <c r="BG218" s="70"/>
      <c r="BH218" s="70"/>
      <c r="BI218" s="70"/>
      <c r="BK218" s="1"/>
      <c r="BL218" s="1"/>
      <c r="BM218" s="1"/>
      <c r="BN218" s="1"/>
      <c r="BO218" s="1"/>
    </row>
    <row r="219" spans="1:67" s="6" customFormat="1" ht="28.5" customHeight="1">
      <c r="A219" s="348" t="s">
        <v>113</v>
      </c>
      <c r="B219" s="348"/>
      <c r="C219" s="348"/>
      <c r="D219" s="348"/>
      <c r="E219" s="348"/>
      <c r="F219" s="348"/>
      <c r="G219" s="62"/>
      <c r="H219" s="9"/>
      <c r="I219" s="62"/>
      <c r="J219" s="62"/>
      <c r="K219" s="62"/>
      <c r="L219" s="62"/>
      <c r="M219" s="62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62"/>
      <c r="AE219" s="64"/>
      <c r="AF219" s="62"/>
      <c r="AG219" s="62"/>
      <c r="AH219" s="62"/>
      <c r="AI219" s="62"/>
      <c r="AJ219" s="536" t="s">
        <v>111</v>
      </c>
      <c r="AK219" s="536"/>
      <c r="AL219" s="536"/>
      <c r="AM219" s="536"/>
      <c r="AN219" s="536"/>
      <c r="AO219" s="536"/>
      <c r="AP219" s="70"/>
      <c r="AQ219" s="536"/>
      <c r="AR219" s="536"/>
      <c r="AS219" s="536"/>
      <c r="AT219" s="536"/>
      <c r="AU219" s="536"/>
      <c r="AV219" s="536"/>
      <c r="AW219" s="70"/>
      <c r="AX219" s="70"/>
      <c r="AY219" s="70"/>
      <c r="AZ219" s="70"/>
      <c r="BA219" s="70"/>
      <c r="BB219" s="70"/>
      <c r="BC219" s="70"/>
      <c r="BD219" s="42"/>
      <c r="BE219" s="42"/>
      <c r="BF219" s="70"/>
      <c r="BG219" s="70"/>
      <c r="BH219" s="70"/>
      <c r="BI219" s="70"/>
      <c r="BK219" s="1"/>
      <c r="BL219" s="1"/>
      <c r="BM219" s="1"/>
      <c r="BN219" s="1"/>
      <c r="BO219" s="1"/>
    </row>
    <row r="220" spans="1:67" s="6" customFormat="1" ht="33.75" customHeight="1">
      <c r="A220" s="533"/>
      <c r="B220" s="533"/>
      <c r="C220" s="533"/>
      <c r="D220" s="533"/>
      <c r="E220" s="533"/>
      <c r="F220" s="533"/>
      <c r="G220" s="61"/>
      <c r="H220" s="61"/>
      <c r="I220" s="61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62"/>
      <c r="AE220" s="64"/>
      <c r="AF220" s="62"/>
      <c r="AG220" s="62"/>
      <c r="AH220" s="62"/>
      <c r="AI220" s="62"/>
      <c r="AJ220" s="533"/>
      <c r="AK220" s="533"/>
      <c r="AL220" s="533"/>
      <c r="AM220" s="533"/>
      <c r="AN220" s="533"/>
      <c r="AO220" s="533"/>
      <c r="AP220" s="62"/>
      <c r="AQ220" s="549"/>
      <c r="AR220" s="549"/>
      <c r="AS220" s="549"/>
      <c r="AT220" s="549"/>
      <c r="AU220" s="549"/>
      <c r="AV220" s="549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K220" s="1"/>
      <c r="BL220" s="1"/>
      <c r="BM220" s="1"/>
      <c r="BN220" s="1"/>
      <c r="BO220" s="1"/>
    </row>
    <row r="221" spans="1:67" s="6" customFormat="1" ht="50.25" customHeight="1">
      <c r="A221" s="348" t="s">
        <v>112</v>
      </c>
      <c r="B221" s="348"/>
      <c r="C221" s="348"/>
      <c r="D221" s="348"/>
      <c r="E221" s="348"/>
      <c r="F221" s="348"/>
      <c r="G221" s="61"/>
      <c r="H221" s="61"/>
      <c r="I221" s="61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62"/>
      <c r="AE221" s="64"/>
      <c r="AF221" s="62"/>
      <c r="AG221" s="62"/>
      <c r="AH221" s="62"/>
      <c r="AI221" s="62"/>
      <c r="AJ221" s="348" t="s">
        <v>112</v>
      </c>
      <c r="AK221" s="348"/>
      <c r="AL221" s="348"/>
      <c r="AM221" s="348"/>
      <c r="AN221" s="348"/>
      <c r="AO221" s="348"/>
      <c r="AP221" s="62"/>
      <c r="AQ221" s="55"/>
      <c r="AR221" s="55"/>
      <c r="AS221" s="55"/>
      <c r="AT221" s="55"/>
      <c r="AU221" s="55"/>
      <c r="AV221" s="55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K221" s="1"/>
      <c r="BL221" s="1"/>
      <c r="BM221" s="1"/>
      <c r="BN221" s="1"/>
      <c r="BO221" s="1"/>
    </row>
    <row r="222" spans="1:67" s="6" customFormat="1" ht="38.25" customHeight="1">
      <c r="A222" s="532" t="s">
        <v>412</v>
      </c>
      <c r="B222" s="532"/>
      <c r="C222" s="532"/>
      <c r="D222" s="532"/>
      <c r="E222" s="532"/>
      <c r="F222" s="532"/>
      <c r="G222" s="532"/>
      <c r="H222" s="532"/>
      <c r="I222" s="532"/>
      <c r="J222" s="532"/>
      <c r="K222" s="532"/>
      <c r="L222" s="532"/>
      <c r="M222" s="532"/>
      <c r="N222" s="532"/>
      <c r="O222" s="532"/>
      <c r="P222" s="532"/>
      <c r="Q222" s="532"/>
      <c r="R222" s="532"/>
      <c r="S222" s="532"/>
      <c r="T222" s="532"/>
      <c r="U222" s="532"/>
      <c r="V222" s="42"/>
      <c r="W222" s="42"/>
      <c r="X222" s="42"/>
      <c r="Y222" s="42"/>
      <c r="Z222" s="42"/>
      <c r="AA222" s="42"/>
      <c r="AB222" s="42"/>
      <c r="AC222" s="42"/>
      <c r="AD222" s="89"/>
      <c r="AE222" s="89"/>
      <c r="AF222" s="89"/>
      <c r="AG222" s="62"/>
      <c r="AH222" s="62"/>
      <c r="AI222" s="62"/>
      <c r="AJ222" s="556" t="s">
        <v>114</v>
      </c>
      <c r="AK222" s="556"/>
      <c r="AL222" s="556"/>
      <c r="AM222" s="556"/>
      <c r="AN222" s="556"/>
      <c r="AO222" s="556"/>
      <c r="AP222" s="556"/>
      <c r="AQ222" s="556"/>
      <c r="AR222" s="556"/>
      <c r="AS222" s="556"/>
      <c r="AT222" s="556"/>
      <c r="AU222" s="556"/>
      <c r="AV222" s="556"/>
      <c r="AW222" s="556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K222" s="1"/>
      <c r="BL222" s="1"/>
      <c r="BM222" s="1"/>
      <c r="BN222" s="1"/>
      <c r="BO222" s="1"/>
    </row>
    <row r="223" spans="1:67" s="6" customFormat="1" ht="33.75" customHeight="1">
      <c r="A223" s="532"/>
      <c r="B223" s="532"/>
      <c r="C223" s="532"/>
      <c r="D223" s="532"/>
      <c r="E223" s="532"/>
      <c r="F223" s="532"/>
      <c r="G223" s="532"/>
      <c r="H223" s="532"/>
      <c r="I223" s="532"/>
      <c r="J223" s="532"/>
      <c r="K223" s="532"/>
      <c r="L223" s="532"/>
      <c r="M223" s="532"/>
      <c r="N223" s="532"/>
      <c r="O223" s="532"/>
      <c r="P223" s="532"/>
      <c r="Q223" s="532"/>
      <c r="R223" s="532"/>
      <c r="S223" s="532"/>
      <c r="T223" s="532"/>
      <c r="U223" s="532"/>
      <c r="V223" s="42"/>
      <c r="W223" s="42"/>
      <c r="X223" s="42"/>
      <c r="Y223" s="42"/>
      <c r="Z223" s="42"/>
      <c r="AA223" s="42"/>
      <c r="AB223" s="42"/>
      <c r="AC223" s="42"/>
      <c r="AD223" s="65"/>
      <c r="AE223" s="64"/>
      <c r="AF223" s="64"/>
      <c r="AG223" s="62"/>
      <c r="AH223" s="62"/>
      <c r="AI223" s="62"/>
      <c r="AJ223" s="98"/>
      <c r="AK223" s="98"/>
      <c r="AL223" s="98"/>
      <c r="AM223" s="98"/>
      <c r="AN223" s="98"/>
      <c r="AO223" s="98"/>
      <c r="AP223" s="62"/>
      <c r="AQ223" s="533" t="s">
        <v>331</v>
      </c>
      <c r="AR223" s="533"/>
      <c r="AS223" s="533"/>
      <c r="AT223" s="533"/>
      <c r="AU223" s="533"/>
      <c r="AV223" s="533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K223" s="1"/>
      <c r="BL223" s="1"/>
      <c r="BM223" s="1"/>
      <c r="BN223" s="1"/>
      <c r="BO223" s="1"/>
    </row>
    <row r="224" spans="1:67" s="6" customFormat="1" ht="29.25" customHeight="1">
      <c r="A224" s="553" t="s">
        <v>384</v>
      </c>
      <c r="B224" s="553"/>
      <c r="C224" s="553"/>
      <c r="D224" s="553"/>
      <c r="E224" s="553"/>
      <c r="F224" s="553"/>
      <c r="G224" s="553"/>
      <c r="H224" s="553"/>
      <c r="I224" s="553"/>
      <c r="J224" s="553"/>
      <c r="K224" s="553"/>
      <c r="L224" s="553"/>
      <c r="M224" s="553"/>
      <c r="N224" s="553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65"/>
      <c r="AE224" s="44"/>
      <c r="AF224" s="44"/>
      <c r="AG224" s="62"/>
      <c r="AH224" s="62"/>
      <c r="AI224" s="62"/>
      <c r="AJ224" s="348" t="s">
        <v>113</v>
      </c>
      <c r="AK224" s="348"/>
      <c r="AL224" s="348"/>
      <c r="AM224" s="348"/>
      <c r="AN224" s="348"/>
      <c r="AO224" s="348"/>
      <c r="AP224" s="1"/>
      <c r="AW224" s="1"/>
      <c r="AX224" s="1"/>
      <c r="AY224" s="1"/>
      <c r="AZ224" s="1"/>
      <c r="BA224" s="1"/>
      <c r="BB224" s="1"/>
      <c r="BC224" s="1"/>
      <c r="BD224" s="62"/>
      <c r="BE224" s="62"/>
      <c r="BF224" s="62"/>
      <c r="BG224" s="62"/>
      <c r="BH224" s="62"/>
      <c r="BI224" s="62"/>
      <c r="BK224" s="1"/>
      <c r="BL224" s="1"/>
      <c r="BM224" s="1"/>
      <c r="BN224" s="1"/>
      <c r="BO224" s="1"/>
    </row>
    <row r="225" spans="1:67" s="6" customFormat="1" ht="26.25" customHeight="1">
      <c r="A225" s="90"/>
      <c r="B225" s="90"/>
      <c r="C225" s="90"/>
      <c r="D225" s="90"/>
      <c r="E225" s="90"/>
      <c r="F225" s="90"/>
      <c r="G225" s="61"/>
      <c r="H225" s="9"/>
      <c r="I225" s="62"/>
      <c r="J225" s="62"/>
      <c r="K225" s="62"/>
      <c r="L225" s="62"/>
      <c r="M225" s="6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62"/>
      <c r="AE225" s="64"/>
      <c r="AF225" s="64"/>
      <c r="AG225" s="62"/>
      <c r="AH225" s="62"/>
      <c r="AI225" s="62"/>
      <c r="AJ225" s="98"/>
      <c r="AK225" s="98"/>
      <c r="AL225" s="98"/>
      <c r="AM225" s="98"/>
      <c r="AN225" s="98"/>
      <c r="AO225" s="98"/>
      <c r="AP225" s="71"/>
      <c r="AQ225" s="545"/>
      <c r="AR225" s="545"/>
      <c r="AS225" s="545"/>
      <c r="AT225" s="545"/>
      <c r="AU225" s="545"/>
      <c r="AV225" s="545"/>
      <c r="AW225" s="71"/>
      <c r="AX225" s="71"/>
      <c r="AY225" s="71"/>
      <c r="AZ225" s="71"/>
      <c r="BA225" s="71"/>
      <c r="BB225" s="71"/>
      <c r="BC225" s="71"/>
      <c r="BD225" s="62"/>
      <c r="BE225" s="62"/>
      <c r="BF225" s="62"/>
      <c r="BG225" s="62"/>
      <c r="BH225" s="62"/>
      <c r="BI225" s="62"/>
      <c r="BK225" s="1"/>
      <c r="BL225" s="1"/>
      <c r="BM225" s="1"/>
      <c r="BN225" s="1"/>
      <c r="BO225" s="1"/>
    </row>
    <row r="226" spans="1:67" s="6" customFormat="1" ht="33" customHeight="1">
      <c r="A226" s="90"/>
      <c r="B226" s="90"/>
      <c r="C226" s="90"/>
      <c r="D226" s="90"/>
      <c r="E226" s="90"/>
      <c r="F226" s="90"/>
      <c r="G226" s="61"/>
      <c r="H226" s="61"/>
      <c r="I226" s="61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62"/>
      <c r="AE226" s="64"/>
      <c r="AF226" s="64"/>
      <c r="AG226" s="62"/>
      <c r="AH226" s="62"/>
      <c r="AI226" s="62"/>
      <c r="AJ226" s="348" t="s">
        <v>112</v>
      </c>
      <c r="AK226" s="348"/>
      <c r="AL226" s="348"/>
      <c r="AM226" s="348"/>
      <c r="AN226" s="348"/>
      <c r="AO226" s="348"/>
      <c r="AP226" s="62"/>
      <c r="AQ226" s="549"/>
      <c r="AR226" s="549"/>
      <c r="AS226" s="549"/>
      <c r="AT226" s="549"/>
      <c r="AU226" s="549"/>
      <c r="AV226" s="549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K226" s="1"/>
      <c r="BL226" s="1"/>
      <c r="BM226" s="1"/>
      <c r="BN226" s="1"/>
      <c r="BO226" s="1"/>
    </row>
    <row r="227" spans="1:67" s="6" customFormat="1" ht="26.25" customHeight="1">
      <c r="A227" s="90"/>
      <c r="B227" s="90"/>
      <c r="C227" s="90"/>
      <c r="D227" s="90"/>
      <c r="E227" s="90"/>
      <c r="F227" s="90"/>
      <c r="G227" s="61"/>
      <c r="H227" s="61"/>
      <c r="I227" s="61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62"/>
      <c r="AE227" s="64"/>
      <c r="AF227" s="64"/>
      <c r="AG227" s="62"/>
      <c r="AH227" s="62"/>
      <c r="AI227" s="62"/>
      <c r="AP227" s="62"/>
      <c r="AQ227" s="545"/>
      <c r="AR227" s="545"/>
      <c r="AS227" s="545"/>
      <c r="AT227" s="545"/>
      <c r="AU227" s="545"/>
      <c r="AV227" s="545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K227" s="1"/>
      <c r="BL227" s="1"/>
      <c r="BM227" s="1"/>
      <c r="BN227" s="1"/>
      <c r="BO227" s="1"/>
    </row>
    <row r="228" spans="1:61" ht="25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6"/>
      <c r="S228" s="46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61"/>
      <c r="BG228" s="61"/>
      <c r="BH228" s="61"/>
      <c r="BI228" s="61"/>
    </row>
    <row r="229" spans="1:24" ht="24" customHeight="1">
      <c r="A229" s="4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3"/>
      <c r="S229" s="23"/>
      <c r="T229" s="3"/>
      <c r="U229" s="3"/>
      <c r="V229" s="3"/>
      <c r="W229" s="3"/>
      <c r="X229" s="3"/>
    </row>
  </sheetData>
  <sheetProtection/>
  <mergeCells count="1369">
    <mergeCell ref="AJ216:AW217"/>
    <mergeCell ref="AJ222:AW222"/>
    <mergeCell ref="AJ209:AN209"/>
    <mergeCell ref="A216:X217"/>
    <mergeCell ref="A222:U223"/>
    <mergeCell ref="A210:X210"/>
    <mergeCell ref="AJ213:AO213"/>
    <mergeCell ref="A214:F214"/>
    <mergeCell ref="H218:O218"/>
    <mergeCell ref="A213:F213"/>
    <mergeCell ref="BF153:BI153"/>
    <mergeCell ref="A173:D173"/>
    <mergeCell ref="E173:BE173"/>
    <mergeCell ref="AQ166:AV166"/>
    <mergeCell ref="A167:F167"/>
    <mergeCell ref="A168:F168"/>
    <mergeCell ref="AJ168:AO168"/>
    <mergeCell ref="BF172:BI172"/>
    <mergeCell ref="E172:BE172"/>
    <mergeCell ref="BF154:BI154"/>
    <mergeCell ref="AV6:BG6"/>
    <mergeCell ref="E159:BE159"/>
    <mergeCell ref="BF159:BI159"/>
    <mergeCell ref="A160:D160"/>
    <mergeCell ref="E160:BE160"/>
    <mergeCell ref="BF160:BI160"/>
    <mergeCell ref="AB55:AC55"/>
    <mergeCell ref="AD55:AE55"/>
    <mergeCell ref="BD55:BE55"/>
    <mergeCell ref="BF55:BI56"/>
    <mergeCell ref="A224:N224"/>
    <mergeCell ref="A148:D148"/>
    <mergeCell ref="E148:BE148"/>
    <mergeCell ref="BF148:BI148"/>
    <mergeCell ref="A155:D155"/>
    <mergeCell ref="E155:BE155"/>
    <mergeCell ref="BF155:BI155"/>
    <mergeCell ref="A158:D158"/>
    <mergeCell ref="BF158:BI158"/>
    <mergeCell ref="A159:D159"/>
    <mergeCell ref="AB56:AC56"/>
    <mergeCell ref="AD56:AE56"/>
    <mergeCell ref="BD56:BE56"/>
    <mergeCell ref="P56:Q56"/>
    <mergeCell ref="R56:S56"/>
    <mergeCell ref="T56:U56"/>
    <mergeCell ref="P54:Q54"/>
    <mergeCell ref="R54:S54"/>
    <mergeCell ref="X55:Y55"/>
    <mergeCell ref="Z55:AA55"/>
    <mergeCell ref="V56:W56"/>
    <mergeCell ref="X56:Y56"/>
    <mergeCell ref="Z56:AA56"/>
    <mergeCell ref="T54:U54"/>
    <mergeCell ref="V54:W54"/>
    <mergeCell ref="X54:Y54"/>
    <mergeCell ref="A55:A56"/>
    <mergeCell ref="B55:O55"/>
    <mergeCell ref="P55:Q55"/>
    <mergeCell ref="R55:S55"/>
    <mergeCell ref="T55:U55"/>
    <mergeCell ref="B56:O56"/>
    <mergeCell ref="Z54:AA54"/>
    <mergeCell ref="A153:D153"/>
    <mergeCell ref="E153:BE153"/>
    <mergeCell ref="AB125:AC125"/>
    <mergeCell ref="P121:Q121"/>
    <mergeCell ref="R121:S121"/>
    <mergeCell ref="T121:U121"/>
    <mergeCell ref="V121:W121"/>
    <mergeCell ref="X121:Y121"/>
    <mergeCell ref="X125:Y125"/>
    <mergeCell ref="V38:W38"/>
    <mergeCell ref="X38:Y38"/>
    <mergeCell ref="AD38:AE38"/>
    <mergeCell ref="BD38:BE38"/>
    <mergeCell ref="BF38:BI38"/>
    <mergeCell ref="B54:O54"/>
    <mergeCell ref="AB38:AC38"/>
    <mergeCell ref="BF52:BI53"/>
    <mergeCell ref="Z53:AA53"/>
    <mergeCell ref="AB53:AC53"/>
    <mergeCell ref="T1:AS1"/>
    <mergeCell ref="T8:AS8"/>
    <mergeCell ref="Z121:AA121"/>
    <mergeCell ref="AB121:AC121"/>
    <mergeCell ref="AD121:AE121"/>
    <mergeCell ref="AB6:AS6"/>
    <mergeCell ref="Z38:AA38"/>
    <mergeCell ref="Z3:AO3"/>
    <mergeCell ref="T108:U108"/>
    <mergeCell ref="X118:Y118"/>
    <mergeCell ref="AJ224:AO224"/>
    <mergeCell ref="AQ223:AV223"/>
    <mergeCell ref="AQ225:AV225"/>
    <mergeCell ref="E193:BE193"/>
    <mergeCell ref="Z100:AA100"/>
    <mergeCell ref="AQ220:AV220"/>
    <mergeCell ref="AD125:AE125"/>
    <mergeCell ref="BD125:BE125"/>
    <mergeCell ref="AD111:AE111"/>
    <mergeCell ref="B121:O121"/>
    <mergeCell ref="AQ227:AV227"/>
    <mergeCell ref="AJ218:AO218"/>
    <mergeCell ref="AJ219:AO219"/>
    <mergeCell ref="AQ218:AV218"/>
    <mergeCell ref="A142:BI142"/>
    <mergeCell ref="A141:BI141"/>
    <mergeCell ref="AQ226:AV226"/>
    <mergeCell ref="AJ226:AO226"/>
    <mergeCell ref="H212:O212"/>
    <mergeCell ref="A194:D194"/>
    <mergeCell ref="V113:W113"/>
    <mergeCell ref="AQ219:AV219"/>
    <mergeCell ref="AJ221:AO221"/>
    <mergeCell ref="BF189:BI189"/>
    <mergeCell ref="BF33:BG33"/>
    <mergeCell ref="BH33:BI33"/>
    <mergeCell ref="BF89:BG89"/>
    <mergeCell ref="BH89:BI89"/>
    <mergeCell ref="BF125:BI125"/>
    <mergeCell ref="BD54:BE54"/>
    <mergeCell ref="BF54:BI54"/>
    <mergeCell ref="BF64:BI64"/>
    <mergeCell ref="BF63:BI63"/>
    <mergeCell ref="AB97:AC97"/>
    <mergeCell ref="BD102:BE102"/>
    <mergeCell ref="BD79:BE79"/>
    <mergeCell ref="BF78:BI78"/>
    <mergeCell ref="AD78:AE78"/>
    <mergeCell ref="AD97:AE97"/>
    <mergeCell ref="BD100:BE100"/>
    <mergeCell ref="T106:U106"/>
    <mergeCell ref="T102:U102"/>
    <mergeCell ref="T104:U104"/>
    <mergeCell ref="T110:U110"/>
    <mergeCell ref="BF72:BI72"/>
    <mergeCell ref="BF102:BI102"/>
    <mergeCell ref="BF75:BI75"/>
    <mergeCell ref="Z108:AA108"/>
    <mergeCell ref="T101:U101"/>
    <mergeCell ref="X100:Y100"/>
    <mergeCell ref="T97:U97"/>
    <mergeCell ref="R100:S100"/>
    <mergeCell ref="V95:W95"/>
    <mergeCell ref="Z94:AA94"/>
    <mergeCell ref="R93:S93"/>
    <mergeCell ref="T93:U93"/>
    <mergeCell ref="X113:Y113"/>
    <mergeCell ref="B72:O72"/>
    <mergeCell ref="P72:Q72"/>
    <mergeCell ref="R72:S72"/>
    <mergeCell ref="T72:U72"/>
    <mergeCell ref="V72:W72"/>
    <mergeCell ref="P79:Q79"/>
    <mergeCell ref="R79:S79"/>
    <mergeCell ref="T79:U79"/>
    <mergeCell ref="V79:W79"/>
    <mergeCell ref="V108:W108"/>
    <mergeCell ref="A112:A113"/>
    <mergeCell ref="B112:O112"/>
    <mergeCell ref="B113:O113"/>
    <mergeCell ref="B111:O111"/>
    <mergeCell ref="P111:Q111"/>
    <mergeCell ref="T111:U111"/>
    <mergeCell ref="V111:W111"/>
    <mergeCell ref="R111:S111"/>
    <mergeCell ref="P113:Q113"/>
    <mergeCell ref="T113:U113"/>
    <mergeCell ref="R113:S113"/>
    <mergeCell ref="T112:U112"/>
    <mergeCell ref="V102:W102"/>
    <mergeCell ref="X102:Y102"/>
    <mergeCell ref="X104:Y104"/>
    <mergeCell ref="V107:W107"/>
    <mergeCell ref="R104:S104"/>
    <mergeCell ref="V104:W104"/>
    <mergeCell ref="X105:Y105"/>
    <mergeCell ref="BF100:BI101"/>
    <mergeCell ref="BD101:BE101"/>
    <mergeCell ref="BD97:BE97"/>
    <mergeCell ref="BD99:BE99"/>
    <mergeCell ref="BF98:BI99"/>
    <mergeCell ref="BF97:BI97"/>
    <mergeCell ref="BD98:BE98"/>
    <mergeCell ref="BD65:BE65"/>
    <mergeCell ref="BD68:BE68"/>
    <mergeCell ref="AD68:AE68"/>
    <mergeCell ref="BF65:BI65"/>
    <mergeCell ref="BF73:BI74"/>
    <mergeCell ref="BD69:BE69"/>
    <mergeCell ref="BF68:BI68"/>
    <mergeCell ref="AD67:AE67"/>
    <mergeCell ref="A98:A99"/>
    <mergeCell ref="B99:O99"/>
    <mergeCell ref="Z63:AA63"/>
    <mergeCell ref="AB63:AC63"/>
    <mergeCell ref="AB58:AC58"/>
    <mergeCell ref="BD63:BE63"/>
    <mergeCell ref="BD60:BE60"/>
    <mergeCell ref="X78:Y78"/>
    <mergeCell ref="Z78:AA78"/>
    <mergeCell ref="AB78:AC78"/>
    <mergeCell ref="P101:Q101"/>
    <mergeCell ref="R101:S101"/>
    <mergeCell ref="AD100:AE100"/>
    <mergeCell ref="X99:Y99"/>
    <mergeCell ref="Z99:AA99"/>
    <mergeCell ref="V101:W101"/>
    <mergeCell ref="X101:Y101"/>
    <mergeCell ref="Z101:AA101"/>
    <mergeCell ref="AB100:AC100"/>
    <mergeCell ref="AB101:AC101"/>
    <mergeCell ref="AB72:AC72"/>
    <mergeCell ref="T75:U75"/>
    <mergeCell ref="A100:A101"/>
    <mergeCell ref="B100:O100"/>
    <mergeCell ref="P100:Q100"/>
    <mergeCell ref="T100:U100"/>
    <mergeCell ref="B101:O101"/>
    <mergeCell ref="AB99:AC99"/>
    <mergeCell ref="T99:U99"/>
    <mergeCell ref="V100:W100"/>
    <mergeCell ref="AD70:AE70"/>
    <mergeCell ref="AB75:AC75"/>
    <mergeCell ref="AD75:AE75"/>
    <mergeCell ref="B97:O97"/>
    <mergeCell ref="P97:Q97"/>
    <mergeCell ref="P57:Q57"/>
    <mergeCell ref="X57:Y57"/>
    <mergeCell ref="Z57:AA57"/>
    <mergeCell ref="AB57:AC57"/>
    <mergeCell ref="Z79:AA79"/>
    <mergeCell ref="AB68:AC68"/>
    <mergeCell ref="Z69:AA69"/>
    <mergeCell ref="Z68:AA68"/>
    <mergeCell ref="Z65:AA65"/>
    <mergeCell ref="AB66:AC66"/>
    <mergeCell ref="AD79:AE79"/>
    <mergeCell ref="AD77:AE77"/>
    <mergeCell ref="AB65:AC65"/>
    <mergeCell ref="AD65:AE65"/>
    <mergeCell ref="AB69:AC69"/>
    <mergeCell ref="X69:Y69"/>
    <mergeCell ref="X70:Y70"/>
    <mergeCell ref="Z70:AA70"/>
    <mergeCell ref="V93:W93"/>
    <mergeCell ref="V92:W92"/>
    <mergeCell ref="Z71:AA71"/>
    <mergeCell ref="X79:Y79"/>
    <mergeCell ref="X89:Y89"/>
    <mergeCell ref="A83:AF84"/>
    <mergeCell ref="AB71:AC71"/>
    <mergeCell ref="BF95:BI96"/>
    <mergeCell ref="Z96:AA96"/>
    <mergeCell ref="AB96:AC96"/>
    <mergeCell ref="BF93:BI93"/>
    <mergeCell ref="AB93:AC93"/>
    <mergeCell ref="AD93:AE93"/>
    <mergeCell ref="AD96:AE96"/>
    <mergeCell ref="BD96:BE96"/>
    <mergeCell ref="BD95:BE95"/>
    <mergeCell ref="Z95:AA95"/>
    <mergeCell ref="AD73:AE73"/>
    <mergeCell ref="X92:Y92"/>
    <mergeCell ref="X90:Y90"/>
    <mergeCell ref="AB91:AC91"/>
    <mergeCell ref="Z81:AA81"/>
    <mergeCell ref="BD90:BE90"/>
    <mergeCell ref="BD77:BE77"/>
    <mergeCell ref="AB73:AC73"/>
    <mergeCell ref="BD78:BE78"/>
    <mergeCell ref="P98:Q98"/>
    <mergeCell ref="R98:S98"/>
    <mergeCell ref="T98:U98"/>
    <mergeCell ref="V99:W99"/>
    <mergeCell ref="BD93:BE93"/>
    <mergeCell ref="BD75:BE75"/>
    <mergeCell ref="Z97:AA97"/>
    <mergeCell ref="X93:Y93"/>
    <mergeCell ref="Z93:AA93"/>
    <mergeCell ref="R97:S97"/>
    <mergeCell ref="AD99:AE99"/>
    <mergeCell ref="BF105:BI106"/>
    <mergeCell ref="A105:A106"/>
    <mergeCell ref="B105:O105"/>
    <mergeCell ref="P105:Q105"/>
    <mergeCell ref="R105:S105"/>
    <mergeCell ref="T105:U105"/>
    <mergeCell ref="V105:W105"/>
    <mergeCell ref="AD106:AE106"/>
    <mergeCell ref="P99:Q99"/>
    <mergeCell ref="BD105:BE105"/>
    <mergeCell ref="B106:O106"/>
    <mergeCell ref="Z72:AA72"/>
    <mergeCell ref="Z80:AA80"/>
    <mergeCell ref="Z75:AA75"/>
    <mergeCell ref="Z73:AA73"/>
    <mergeCell ref="Z91:AA91"/>
    <mergeCell ref="Z90:AA90"/>
    <mergeCell ref="AD102:AE102"/>
    <mergeCell ref="Z103:AA103"/>
    <mergeCell ref="AB103:AC103"/>
    <mergeCell ref="B98:O98"/>
    <mergeCell ref="Z105:AA105"/>
    <mergeCell ref="AD107:AE107"/>
    <mergeCell ref="BD104:BE104"/>
    <mergeCell ref="AB102:AC102"/>
    <mergeCell ref="Z104:AA104"/>
    <mergeCell ref="BD103:BE103"/>
    <mergeCell ref="BD106:BE106"/>
    <mergeCell ref="AB106:AC106"/>
    <mergeCell ref="Z102:AA102"/>
    <mergeCell ref="AB104:AC104"/>
    <mergeCell ref="E175:BE175"/>
    <mergeCell ref="E184:BE184"/>
    <mergeCell ref="A180:D180"/>
    <mergeCell ref="A221:F221"/>
    <mergeCell ref="A220:F220"/>
    <mergeCell ref="AJ220:AO220"/>
    <mergeCell ref="A198:D198"/>
    <mergeCell ref="E198:BE198"/>
    <mergeCell ref="A219:F219"/>
    <mergeCell ref="A200:BI200"/>
    <mergeCell ref="A212:F212"/>
    <mergeCell ref="AD101:AE101"/>
    <mergeCell ref="A218:F218"/>
    <mergeCell ref="X108:Y108"/>
    <mergeCell ref="AB108:AC108"/>
    <mergeCell ref="AD108:AE108"/>
    <mergeCell ref="AD104:AE104"/>
    <mergeCell ref="A176:D176"/>
    <mergeCell ref="E176:BE176"/>
    <mergeCell ref="AJ214:AO214"/>
    <mergeCell ref="AJ215:AO215"/>
    <mergeCell ref="A211:F211"/>
    <mergeCell ref="H211:O211"/>
    <mergeCell ref="AJ212:AO212"/>
    <mergeCell ref="A201:BI201"/>
    <mergeCell ref="AQ212:AV212"/>
    <mergeCell ref="A203:BI203"/>
    <mergeCell ref="AJ210:AW211"/>
    <mergeCell ref="E185:BE185"/>
    <mergeCell ref="BF185:BI185"/>
    <mergeCell ref="A188:D188"/>
    <mergeCell ref="E188:BE188"/>
    <mergeCell ref="BF188:BI188"/>
    <mergeCell ref="BF198:BI198"/>
    <mergeCell ref="A187:D187"/>
    <mergeCell ref="E187:BE187"/>
    <mergeCell ref="BF187:BI187"/>
    <mergeCell ref="BF196:BI196"/>
    <mergeCell ref="A175:D175"/>
    <mergeCell ref="A174:D174"/>
    <mergeCell ref="BF175:BI175"/>
    <mergeCell ref="E174:BE174"/>
    <mergeCell ref="BF176:BI176"/>
    <mergeCell ref="A190:D190"/>
    <mergeCell ref="E190:BE190"/>
    <mergeCell ref="BF190:BI190"/>
    <mergeCell ref="A177:D177"/>
    <mergeCell ref="BF179:BI179"/>
    <mergeCell ref="E183:BE183"/>
    <mergeCell ref="BF183:BI183"/>
    <mergeCell ref="A181:D181"/>
    <mergeCell ref="E181:BE181"/>
    <mergeCell ref="BF181:BI181"/>
    <mergeCell ref="E180:BE180"/>
    <mergeCell ref="A182:D182"/>
    <mergeCell ref="E182:BE182"/>
    <mergeCell ref="BF174:BI174"/>
    <mergeCell ref="H166:P166"/>
    <mergeCell ref="BF173:BI173"/>
    <mergeCell ref="A178:D178"/>
    <mergeCell ref="E178:BE178"/>
    <mergeCell ref="BF178:BI178"/>
    <mergeCell ref="A171:D171"/>
    <mergeCell ref="E171:BE171"/>
    <mergeCell ref="BF171:BI171"/>
    <mergeCell ref="A172:D172"/>
    <mergeCell ref="A162:D162"/>
    <mergeCell ref="E162:BE162"/>
    <mergeCell ref="BF162:BI162"/>
    <mergeCell ref="A170:D170"/>
    <mergeCell ref="E170:BE170"/>
    <mergeCell ref="BF170:BI170"/>
    <mergeCell ref="A164:AF165"/>
    <mergeCell ref="AJ164:BI165"/>
    <mergeCell ref="A166:F166"/>
    <mergeCell ref="A169:BI169"/>
    <mergeCell ref="BF149:BI149"/>
    <mergeCell ref="A161:D161"/>
    <mergeCell ref="E161:BE161"/>
    <mergeCell ref="BF161:BI161"/>
    <mergeCell ref="A151:D151"/>
    <mergeCell ref="E151:BE151"/>
    <mergeCell ref="BF151:BI151"/>
    <mergeCell ref="E158:BE158"/>
    <mergeCell ref="A154:D154"/>
    <mergeCell ref="E154:BE154"/>
    <mergeCell ref="BF146:BI146"/>
    <mergeCell ref="A150:D150"/>
    <mergeCell ref="A145:D145"/>
    <mergeCell ref="E145:BE145"/>
    <mergeCell ref="BF145:BI145"/>
    <mergeCell ref="A186:D186"/>
    <mergeCell ref="E186:BE186"/>
    <mergeCell ref="BF186:BI186"/>
    <mergeCell ref="A149:D149"/>
    <mergeCell ref="E149:BE149"/>
    <mergeCell ref="BF147:BI147"/>
    <mergeCell ref="Q140:V140"/>
    <mergeCell ref="W140:Y140"/>
    <mergeCell ref="AU137:BI140"/>
    <mergeCell ref="Q139:V139"/>
    <mergeCell ref="W139:Y139"/>
    <mergeCell ref="Z138:AB138"/>
    <mergeCell ref="AC138:AE138"/>
    <mergeCell ref="E144:BE144"/>
    <mergeCell ref="BF144:BI144"/>
    <mergeCell ref="A147:D147"/>
    <mergeCell ref="E147:BE147"/>
    <mergeCell ref="A144:D144"/>
    <mergeCell ref="A146:D146"/>
    <mergeCell ref="E146:BE146"/>
    <mergeCell ref="K138:M140"/>
    <mergeCell ref="AP138:AT140"/>
    <mergeCell ref="Z137:AB137"/>
    <mergeCell ref="Z139:AB139"/>
    <mergeCell ref="AC139:AE139"/>
    <mergeCell ref="Z140:AB140"/>
    <mergeCell ref="AC140:AE140"/>
    <mergeCell ref="AU136:BI136"/>
    <mergeCell ref="AD134:AE134"/>
    <mergeCell ref="Q138:V138"/>
    <mergeCell ref="W138:Y138"/>
    <mergeCell ref="AJ83:BI84"/>
    <mergeCell ref="AQ85:AV85"/>
    <mergeCell ref="AJ87:AO87"/>
    <mergeCell ref="A88:BI88"/>
    <mergeCell ref="AF138:AJ140"/>
    <mergeCell ref="AK138:AO140"/>
    <mergeCell ref="W137:Y137"/>
    <mergeCell ref="A136:P136"/>
    <mergeCell ref="AC137:AE137"/>
    <mergeCell ref="AF137:AJ137"/>
    <mergeCell ref="AK137:AO137"/>
    <mergeCell ref="AP137:AT137"/>
    <mergeCell ref="Q136:AE136"/>
    <mergeCell ref="AF136:AT136"/>
    <mergeCell ref="AR134:AT134"/>
    <mergeCell ref="AO134:AQ134"/>
    <mergeCell ref="Z134:AA134"/>
    <mergeCell ref="AB134:AC134"/>
    <mergeCell ref="BA133:BC133"/>
    <mergeCell ref="A137:G137"/>
    <mergeCell ref="H137:J137"/>
    <mergeCell ref="K137:M137"/>
    <mergeCell ref="N137:P137"/>
    <mergeCell ref="Q137:V137"/>
    <mergeCell ref="AI134:AK134"/>
    <mergeCell ref="AL134:AN134"/>
    <mergeCell ref="A134:S134"/>
    <mergeCell ref="T134:U134"/>
    <mergeCell ref="V134:W134"/>
    <mergeCell ref="X134:Y134"/>
    <mergeCell ref="AF134:AH134"/>
    <mergeCell ref="AU134:AW134"/>
    <mergeCell ref="AX134:AZ134"/>
    <mergeCell ref="BA134:BC134"/>
    <mergeCell ref="BF134:BI134"/>
    <mergeCell ref="BF133:BI133"/>
    <mergeCell ref="AU133:AW133"/>
    <mergeCell ref="AX133:AZ133"/>
    <mergeCell ref="BD133:BE133"/>
    <mergeCell ref="BD134:BE134"/>
    <mergeCell ref="BF132:BI132"/>
    <mergeCell ref="A133:S133"/>
    <mergeCell ref="T133:U133"/>
    <mergeCell ref="V133:W133"/>
    <mergeCell ref="X133:Y133"/>
    <mergeCell ref="Z133:AA133"/>
    <mergeCell ref="AD132:AE132"/>
    <mergeCell ref="AU132:AW132"/>
    <mergeCell ref="AX132:AZ132"/>
    <mergeCell ref="BA132:BC132"/>
    <mergeCell ref="AR133:AT133"/>
    <mergeCell ref="AL132:AN132"/>
    <mergeCell ref="AO132:AQ132"/>
    <mergeCell ref="AR132:AT132"/>
    <mergeCell ref="AB133:AC133"/>
    <mergeCell ref="AD133:AE133"/>
    <mergeCell ref="AF133:AH133"/>
    <mergeCell ref="AI133:AK133"/>
    <mergeCell ref="AL133:AN133"/>
    <mergeCell ref="AO133:AQ133"/>
    <mergeCell ref="BA131:BC131"/>
    <mergeCell ref="BD131:BE131"/>
    <mergeCell ref="AO131:AQ131"/>
    <mergeCell ref="AR131:AT131"/>
    <mergeCell ref="AU131:AW131"/>
    <mergeCell ref="AF132:AH132"/>
    <mergeCell ref="AI132:AK132"/>
    <mergeCell ref="BD132:BE132"/>
    <mergeCell ref="BF131:BI131"/>
    <mergeCell ref="A132:S132"/>
    <mergeCell ref="T132:U132"/>
    <mergeCell ref="V132:W132"/>
    <mergeCell ref="X132:Y132"/>
    <mergeCell ref="Z132:AA132"/>
    <mergeCell ref="AB132:AC132"/>
    <mergeCell ref="AF131:AH131"/>
    <mergeCell ref="AI131:AK131"/>
    <mergeCell ref="BA130:BC130"/>
    <mergeCell ref="BD130:BE130"/>
    <mergeCell ref="BF130:BI130"/>
    <mergeCell ref="A131:S131"/>
    <mergeCell ref="T131:U131"/>
    <mergeCell ref="V131:W131"/>
    <mergeCell ref="X131:Y131"/>
    <mergeCell ref="Z131:AA131"/>
    <mergeCell ref="AB131:AC131"/>
    <mergeCell ref="AX131:AZ131"/>
    <mergeCell ref="AD131:AE131"/>
    <mergeCell ref="AI130:AK130"/>
    <mergeCell ref="AL130:AN130"/>
    <mergeCell ref="AO130:AQ130"/>
    <mergeCell ref="AR130:AT130"/>
    <mergeCell ref="AU130:AW130"/>
    <mergeCell ref="AF130:AH130"/>
    <mergeCell ref="AL131:AN131"/>
    <mergeCell ref="AX130:AZ130"/>
    <mergeCell ref="BD129:BE129"/>
    <mergeCell ref="BF129:BG129"/>
    <mergeCell ref="A130:S130"/>
    <mergeCell ref="T130:U130"/>
    <mergeCell ref="V130:W130"/>
    <mergeCell ref="X130:Y130"/>
    <mergeCell ref="Z130:AA130"/>
    <mergeCell ref="AB130:AC130"/>
    <mergeCell ref="AD130:AE130"/>
    <mergeCell ref="AB127:AC127"/>
    <mergeCell ref="AD127:AE127"/>
    <mergeCell ref="BD127:BE127"/>
    <mergeCell ref="BF127:BI127"/>
    <mergeCell ref="BD128:BE128"/>
    <mergeCell ref="BF128:BG128"/>
    <mergeCell ref="A127:S127"/>
    <mergeCell ref="T127:U127"/>
    <mergeCell ref="V127:W127"/>
    <mergeCell ref="X127:Y127"/>
    <mergeCell ref="Z127:AA127"/>
    <mergeCell ref="X126:Y126"/>
    <mergeCell ref="Z126:AA126"/>
    <mergeCell ref="B126:O126"/>
    <mergeCell ref="P126:Q126"/>
    <mergeCell ref="R126:S126"/>
    <mergeCell ref="AB126:AC126"/>
    <mergeCell ref="AD126:AE126"/>
    <mergeCell ref="BD126:BE126"/>
    <mergeCell ref="BF126:BI126"/>
    <mergeCell ref="Z124:AA124"/>
    <mergeCell ref="AB124:AC124"/>
    <mergeCell ref="AD124:AE124"/>
    <mergeCell ref="BD124:BE124"/>
    <mergeCell ref="BF124:BI124"/>
    <mergeCell ref="Z125:AA125"/>
    <mergeCell ref="R124:S124"/>
    <mergeCell ref="T124:U124"/>
    <mergeCell ref="V124:W124"/>
    <mergeCell ref="B125:O125"/>
    <mergeCell ref="P125:Q125"/>
    <mergeCell ref="R125:S125"/>
    <mergeCell ref="T125:U125"/>
    <mergeCell ref="V125:W125"/>
    <mergeCell ref="P124:Q124"/>
    <mergeCell ref="BF120:BI120"/>
    <mergeCell ref="BF121:BI121"/>
    <mergeCell ref="Z122:AA122"/>
    <mergeCell ref="AB122:AC122"/>
    <mergeCell ref="X124:Y124"/>
    <mergeCell ref="X123:Y123"/>
    <mergeCell ref="Z123:AA123"/>
    <mergeCell ref="AB123:AC123"/>
    <mergeCell ref="AD123:AE123"/>
    <mergeCell ref="BD123:BE123"/>
    <mergeCell ref="P120:Q120"/>
    <mergeCell ref="R120:S120"/>
    <mergeCell ref="T120:U120"/>
    <mergeCell ref="V120:W120"/>
    <mergeCell ref="BF123:BI123"/>
    <mergeCell ref="Z120:AA120"/>
    <mergeCell ref="AB120:AC120"/>
    <mergeCell ref="AD120:AE120"/>
    <mergeCell ref="BD120:BE120"/>
    <mergeCell ref="BF122:BI122"/>
    <mergeCell ref="BF150:BI150"/>
    <mergeCell ref="B123:O123"/>
    <mergeCell ref="P123:Q123"/>
    <mergeCell ref="R123:S123"/>
    <mergeCell ref="T123:U123"/>
    <mergeCell ref="V123:W123"/>
    <mergeCell ref="T126:U126"/>
    <mergeCell ref="V126:W126"/>
    <mergeCell ref="B124:O124"/>
    <mergeCell ref="N138:P140"/>
    <mergeCell ref="BF110:BI110"/>
    <mergeCell ref="BD117:BE117"/>
    <mergeCell ref="X120:Y120"/>
    <mergeCell ref="A202:BI202"/>
    <mergeCell ref="A204:BI204"/>
    <mergeCell ref="A207:BI207"/>
    <mergeCell ref="A205:BI205"/>
    <mergeCell ref="A206:BI206"/>
    <mergeCell ref="A189:D189"/>
    <mergeCell ref="E189:BE189"/>
    <mergeCell ref="BD121:BE121"/>
    <mergeCell ref="BF108:BI108"/>
    <mergeCell ref="AB114:AC114"/>
    <mergeCell ref="AD114:AE114"/>
    <mergeCell ref="BD114:BE114"/>
    <mergeCell ref="BF114:BI114"/>
    <mergeCell ref="BF112:BI113"/>
    <mergeCell ref="BF111:BI111"/>
    <mergeCell ref="BD110:BE110"/>
    <mergeCell ref="BD111:BE111"/>
    <mergeCell ref="B118:O118"/>
    <mergeCell ref="P118:Q118"/>
    <mergeCell ref="X119:Y119"/>
    <mergeCell ref="X122:Y122"/>
    <mergeCell ref="AD122:AE122"/>
    <mergeCell ref="BD122:BE122"/>
    <mergeCell ref="Z119:AA119"/>
    <mergeCell ref="AB119:AC119"/>
    <mergeCell ref="AD119:AE119"/>
    <mergeCell ref="BD119:BE119"/>
    <mergeCell ref="BF119:BI119"/>
    <mergeCell ref="B107:O107"/>
    <mergeCell ref="P107:Q107"/>
    <mergeCell ref="R107:S107"/>
    <mergeCell ref="B119:O119"/>
    <mergeCell ref="P119:Q119"/>
    <mergeCell ref="R119:S119"/>
    <mergeCell ref="B110:O110"/>
    <mergeCell ref="Z107:AA107"/>
    <mergeCell ref="AB107:AC107"/>
    <mergeCell ref="R118:S118"/>
    <mergeCell ref="V63:W63"/>
    <mergeCell ref="V60:W60"/>
    <mergeCell ref="T119:U119"/>
    <mergeCell ref="T107:U107"/>
    <mergeCell ref="P112:Q112"/>
    <mergeCell ref="P102:Q102"/>
    <mergeCell ref="R102:S102"/>
    <mergeCell ref="V66:W66"/>
    <mergeCell ref="V112:W112"/>
    <mergeCell ref="V119:W119"/>
    <mergeCell ref="P104:Q104"/>
    <mergeCell ref="B70:O70"/>
    <mergeCell ref="P70:Q70"/>
    <mergeCell ref="R70:S70"/>
    <mergeCell ref="T70:U70"/>
    <mergeCell ref="V70:W70"/>
    <mergeCell ref="B104:O104"/>
    <mergeCell ref="B102:O102"/>
    <mergeCell ref="R99:S99"/>
    <mergeCell ref="T68:U68"/>
    <mergeCell ref="B63:O63"/>
    <mergeCell ref="B64:O64"/>
    <mergeCell ref="P64:Q64"/>
    <mergeCell ref="R64:S64"/>
    <mergeCell ref="P63:Q63"/>
    <mergeCell ref="R63:S63"/>
    <mergeCell ref="V68:W68"/>
    <mergeCell ref="X68:Y68"/>
    <mergeCell ref="V65:W65"/>
    <mergeCell ref="X65:Y65"/>
    <mergeCell ref="V75:W75"/>
    <mergeCell ref="X75:Y75"/>
    <mergeCell ref="X72:Y72"/>
    <mergeCell ref="X74:Y74"/>
    <mergeCell ref="X73:Y73"/>
    <mergeCell ref="V69:W69"/>
    <mergeCell ref="X64:Y64"/>
    <mergeCell ref="V64:W64"/>
    <mergeCell ref="X59:Y59"/>
    <mergeCell ref="AB61:AC61"/>
    <mergeCell ref="AD61:AE61"/>
    <mergeCell ref="V61:W61"/>
    <mergeCell ref="X63:Y63"/>
    <mergeCell ref="Z64:AA64"/>
    <mergeCell ref="AB64:AC64"/>
    <mergeCell ref="AD64:AE64"/>
    <mergeCell ref="B57:O57"/>
    <mergeCell ref="BF58:BI59"/>
    <mergeCell ref="B59:O59"/>
    <mergeCell ref="P59:Q59"/>
    <mergeCell ref="R59:S59"/>
    <mergeCell ref="T59:U59"/>
    <mergeCell ref="V59:W59"/>
    <mergeCell ref="Z59:AA59"/>
    <mergeCell ref="X58:Y58"/>
    <mergeCell ref="AD58:AE58"/>
    <mergeCell ref="A58:A59"/>
    <mergeCell ref="B58:O58"/>
    <mergeCell ref="P58:Q58"/>
    <mergeCell ref="R58:S58"/>
    <mergeCell ref="T58:U58"/>
    <mergeCell ref="V58:W58"/>
    <mergeCell ref="P103:Q103"/>
    <mergeCell ref="R103:S103"/>
    <mergeCell ref="T103:U103"/>
    <mergeCell ref="BD91:BE91"/>
    <mergeCell ref="X91:Y91"/>
    <mergeCell ref="AB90:AC90"/>
    <mergeCell ref="AD90:AE90"/>
    <mergeCell ref="R92:S92"/>
    <mergeCell ref="T92:U92"/>
    <mergeCell ref="Z98:AA98"/>
    <mergeCell ref="B92:O92"/>
    <mergeCell ref="P92:Q92"/>
    <mergeCell ref="X98:Y98"/>
    <mergeCell ref="T63:U63"/>
    <mergeCell ref="V97:W97"/>
    <mergeCell ref="X97:Y97"/>
    <mergeCell ref="B91:O91"/>
    <mergeCell ref="P91:Q91"/>
    <mergeCell ref="T91:U91"/>
    <mergeCell ref="V91:W91"/>
    <mergeCell ref="B103:O103"/>
    <mergeCell ref="AD103:AE103"/>
    <mergeCell ref="AB105:AC105"/>
    <mergeCell ref="AD105:AE105"/>
    <mergeCell ref="AD109:AE109"/>
    <mergeCell ref="P106:Q106"/>
    <mergeCell ref="R106:S106"/>
    <mergeCell ref="B108:O108"/>
    <mergeCell ref="P108:Q108"/>
    <mergeCell ref="R108:S108"/>
    <mergeCell ref="X109:Y109"/>
    <mergeCell ref="V106:W106"/>
    <mergeCell ref="BD109:BE109"/>
    <mergeCell ref="Z109:AA109"/>
    <mergeCell ref="AB109:AC109"/>
    <mergeCell ref="BD107:BE107"/>
    <mergeCell ref="Z106:AA106"/>
    <mergeCell ref="X107:Y107"/>
    <mergeCell ref="X106:Y106"/>
    <mergeCell ref="BD108:BE108"/>
    <mergeCell ref="X95:Y95"/>
    <mergeCell ref="V98:W98"/>
    <mergeCell ref="X96:Y96"/>
    <mergeCell ref="Z92:AA92"/>
    <mergeCell ref="AB92:AC92"/>
    <mergeCell ref="AD92:AE92"/>
    <mergeCell ref="AD98:AE98"/>
    <mergeCell ref="AB98:AC98"/>
    <mergeCell ref="V109:W109"/>
    <mergeCell ref="AB95:AC95"/>
    <mergeCell ref="BF104:BI104"/>
    <mergeCell ref="V103:W103"/>
    <mergeCell ref="X103:Y103"/>
    <mergeCell ref="BF94:BI94"/>
    <mergeCell ref="V96:W96"/>
    <mergeCell ref="AD94:AE94"/>
    <mergeCell ref="AB94:AC94"/>
    <mergeCell ref="AD95:AE95"/>
    <mergeCell ref="BF91:BI91"/>
    <mergeCell ref="AD91:AE91"/>
    <mergeCell ref="R91:S91"/>
    <mergeCell ref="Z58:AA58"/>
    <mergeCell ref="BF57:BI57"/>
    <mergeCell ref="BD92:BE92"/>
    <mergeCell ref="BF92:BI92"/>
    <mergeCell ref="R57:S57"/>
    <mergeCell ref="AB59:AC59"/>
    <mergeCell ref="T64:U64"/>
    <mergeCell ref="BF90:BI90"/>
    <mergeCell ref="Z89:AA89"/>
    <mergeCell ref="AB89:AC89"/>
    <mergeCell ref="AD89:AE89"/>
    <mergeCell ref="BD89:BE89"/>
    <mergeCell ref="B10:H10"/>
    <mergeCell ref="B90:O90"/>
    <mergeCell ref="P90:Q90"/>
    <mergeCell ref="R90:S90"/>
    <mergeCell ref="T90:U90"/>
    <mergeCell ref="X80:Y80"/>
    <mergeCell ref="V90:W90"/>
    <mergeCell ref="B89:O89"/>
    <mergeCell ref="P89:Q89"/>
    <mergeCell ref="R89:S89"/>
    <mergeCell ref="T89:U89"/>
    <mergeCell ref="V80:W80"/>
    <mergeCell ref="A85:F85"/>
    <mergeCell ref="H85:P85"/>
    <mergeCell ref="A86:F86"/>
    <mergeCell ref="V89:W89"/>
    <mergeCell ref="B81:O81"/>
    <mergeCell ref="P81:Q81"/>
    <mergeCell ref="R81:S81"/>
    <mergeCell ref="T81:U81"/>
    <mergeCell ref="V81:W81"/>
    <mergeCell ref="A87:F87"/>
    <mergeCell ref="A76:A77"/>
    <mergeCell ref="AB77:AC77"/>
    <mergeCell ref="V77:W77"/>
    <mergeCell ref="X77:Y77"/>
    <mergeCell ref="Z77:AA77"/>
    <mergeCell ref="P78:Q78"/>
    <mergeCell ref="R78:S78"/>
    <mergeCell ref="T78:U78"/>
    <mergeCell ref="B76:O76"/>
    <mergeCell ref="V76:W76"/>
    <mergeCell ref="A80:A81"/>
    <mergeCell ref="B80:O80"/>
    <mergeCell ref="P80:Q80"/>
    <mergeCell ref="R80:S80"/>
    <mergeCell ref="T80:U80"/>
    <mergeCell ref="R76:S76"/>
    <mergeCell ref="B79:O79"/>
    <mergeCell ref="B78:O78"/>
    <mergeCell ref="B77:O77"/>
    <mergeCell ref="P77:Q77"/>
    <mergeCell ref="R77:S77"/>
    <mergeCell ref="T77:U77"/>
    <mergeCell ref="X76:Y76"/>
    <mergeCell ref="B75:O75"/>
    <mergeCell ref="P75:Q75"/>
    <mergeCell ref="R75:S75"/>
    <mergeCell ref="P76:Q76"/>
    <mergeCell ref="T76:U76"/>
    <mergeCell ref="BD71:BE71"/>
    <mergeCell ref="AB79:AC79"/>
    <mergeCell ref="BD72:BE72"/>
    <mergeCell ref="AB74:AC74"/>
    <mergeCell ref="T74:U74"/>
    <mergeCell ref="AD76:AE76"/>
    <mergeCell ref="V78:W78"/>
    <mergeCell ref="Z74:AA74"/>
    <mergeCell ref="BD74:BE74"/>
    <mergeCell ref="AD74:AE74"/>
    <mergeCell ref="A73:A74"/>
    <mergeCell ref="P73:Q73"/>
    <mergeCell ref="R73:S73"/>
    <mergeCell ref="T73:U73"/>
    <mergeCell ref="V73:W73"/>
    <mergeCell ref="AD72:AE72"/>
    <mergeCell ref="B73:O73"/>
    <mergeCell ref="B74:O74"/>
    <mergeCell ref="P74:Q74"/>
    <mergeCell ref="R74:S74"/>
    <mergeCell ref="BD66:BE66"/>
    <mergeCell ref="BF66:BI66"/>
    <mergeCell ref="BF67:BI67"/>
    <mergeCell ref="T67:U67"/>
    <mergeCell ref="V67:W67"/>
    <mergeCell ref="X67:Y67"/>
    <mergeCell ref="Z67:AA67"/>
    <mergeCell ref="Z66:AA66"/>
    <mergeCell ref="AB67:AC67"/>
    <mergeCell ref="BF79:BI79"/>
    <mergeCell ref="AD80:AE80"/>
    <mergeCell ref="BD80:BE80"/>
    <mergeCell ref="BF80:BI81"/>
    <mergeCell ref="BD76:BE76"/>
    <mergeCell ref="Z76:AA76"/>
    <mergeCell ref="AD81:AE81"/>
    <mergeCell ref="BD81:BE81"/>
    <mergeCell ref="AB81:AC81"/>
    <mergeCell ref="BF76:BI77"/>
    <mergeCell ref="BD118:BE118"/>
    <mergeCell ref="AD118:AE118"/>
    <mergeCell ref="B66:O66"/>
    <mergeCell ref="P66:Q66"/>
    <mergeCell ref="R66:S66"/>
    <mergeCell ref="T66:U66"/>
    <mergeCell ref="B68:O68"/>
    <mergeCell ref="P68:Q68"/>
    <mergeCell ref="R68:S68"/>
    <mergeCell ref="AD66:AE66"/>
    <mergeCell ref="B65:O65"/>
    <mergeCell ref="P65:Q65"/>
    <mergeCell ref="R65:S65"/>
    <mergeCell ref="T65:U65"/>
    <mergeCell ref="V71:W71"/>
    <mergeCell ref="X71:Y71"/>
    <mergeCell ref="B69:O69"/>
    <mergeCell ref="B67:O67"/>
    <mergeCell ref="P67:Q67"/>
    <mergeCell ref="R67:S67"/>
    <mergeCell ref="A95:A96"/>
    <mergeCell ref="B95:O95"/>
    <mergeCell ref="P95:Q95"/>
    <mergeCell ref="R95:S95"/>
    <mergeCell ref="T95:U95"/>
    <mergeCell ref="B96:O96"/>
    <mergeCell ref="P96:Q96"/>
    <mergeCell ref="T96:U96"/>
    <mergeCell ref="BD94:BE94"/>
    <mergeCell ref="AB62:AC62"/>
    <mergeCell ref="R69:S69"/>
    <mergeCell ref="T69:U69"/>
    <mergeCell ref="BD67:BE67"/>
    <mergeCell ref="AB76:AC76"/>
    <mergeCell ref="R62:S62"/>
    <mergeCell ref="AB80:AC80"/>
    <mergeCell ref="BD73:BE73"/>
    <mergeCell ref="X81:Y81"/>
    <mergeCell ref="V74:W74"/>
    <mergeCell ref="AD52:AE52"/>
    <mergeCell ref="AD59:AE59"/>
    <mergeCell ref="Z52:AA52"/>
    <mergeCell ref="AB52:AC52"/>
    <mergeCell ref="Z60:AA60"/>
    <mergeCell ref="AD57:AE57"/>
    <mergeCell ref="AB54:AC54"/>
    <mergeCell ref="AD54:AE54"/>
    <mergeCell ref="AD71:AE71"/>
    <mergeCell ref="B60:O60"/>
    <mergeCell ref="B93:O93"/>
    <mergeCell ref="B94:O94"/>
    <mergeCell ref="X94:Y94"/>
    <mergeCell ref="X66:Y66"/>
    <mergeCell ref="T71:U71"/>
    <mergeCell ref="P69:Q69"/>
    <mergeCell ref="T94:U94"/>
    <mergeCell ref="V94:W94"/>
    <mergeCell ref="P93:Q93"/>
    <mergeCell ref="AD63:AE63"/>
    <mergeCell ref="X53:Y53"/>
    <mergeCell ref="AD53:AE53"/>
    <mergeCell ref="BF103:BI103"/>
    <mergeCell ref="B53:O53"/>
    <mergeCell ref="P53:Q53"/>
    <mergeCell ref="R53:S53"/>
    <mergeCell ref="T53:U53"/>
    <mergeCell ref="V53:W53"/>
    <mergeCell ref="BF60:BI60"/>
    <mergeCell ref="B51:O51"/>
    <mergeCell ref="AD51:AE51"/>
    <mergeCell ref="AB51:AC51"/>
    <mergeCell ref="BD57:BE57"/>
    <mergeCell ref="AB70:AC70"/>
    <mergeCell ref="BD64:BE64"/>
    <mergeCell ref="BD58:BE58"/>
    <mergeCell ref="AD69:AE69"/>
    <mergeCell ref="BD59:BE59"/>
    <mergeCell ref="AB60:AC60"/>
    <mergeCell ref="V55:W55"/>
    <mergeCell ref="B50:O50"/>
    <mergeCell ref="A52:A53"/>
    <mergeCell ref="B52:O52"/>
    <mergeCell ref="P52:Q52"/>
    <mergeCell ref="R52:S52"/>
    <mergeCell ref="T52:U52"/>
    <mergeCell ref="P50:Q50"/>
    <mergeCell ref="R50:S50"/>
    <mergeCell ref="T50:U50"/>
    <mergeCell ref="P62:Q62"/>
    <mergeCell ref="P51:Q51"/>
    <mergeCell ref="R51:S51"/>
    <mergeCell ref="T51:U51"/>
    <mergeCell ref="V51:W51"/>
    <mergeCell ref="R60:S60"/>
    <mergeCell ref="T60:U60"/>
    <mergeCell ref="P60:Q60"/>
    <mergeCell ref="V57:W57"/>
    <mergeCell ref="T57:U57"/>
    <mergeCell ref="B120:O120"/>
    <mergeCell ref="B61:O61"/>
    <mergeCell ref="B71:O71"/>
    <mergeCell ref="P71:Q71"/>
    <mergeCell ref="R71:S71"/>
    <mergeCell ref="P94:Q94"/>
    <mergeCell ref="R94:S94"/>
    <mergeCell ref="R61:S61"/>
    <mergeCell ref="P61:Q61"/>
    <mergeCell ref="B62:O62"/>
    <mergeCell ref="BD52:BE52"/>
    <mergeCell ref="B122:O122"/>
    <mergeCell ref="P122:Q122"/>
    <mergeCell ref="R122:S122"/>
    <mergeCell ref="T122:U122"/>
    <mergeCell ref="V122:W122"/>
    <mergeCell ref="B109:O109"/>
    <mergeCell ref="P109:Q109"/>
    <mergeCell ref="R109:S109"/>
    <mergeCell ref="T109:U109"/>
    <mergeCell ref="BD50:BE50"/>
    <mergeCell ref="AB50:AC50"/>
    <mergeCell ref="BD51:BE51"/>
    <mergeCell ref="BD53:BE53"/>
    <mergeCell ref="R96:S96"/>
    <mergeCell ref="T61:U61"/>
    <mergeCell ref="V50:W50"/>
    <mergeCell ref="X51:Y51"/>
    <mergeCell ref="Z51:AA51"/>
    <mergeCell ref="AD60:AE60"/>
    <mergeCell ref="R46:S46"/>
    <mergeCell ref="AD45:AE45"/>
    <mergeCell ref="BD45:BE45"/>
    <mergeCell ref="BF45:BI45"/>
    <mergeCell ref="AD50:AE50"/>
    <mergeCell ref="Z48:AA48"/>
    <mergeCell ref="AB48:AC48"/>
    <mergeCell ref="AD48:AE48"/>
    <mergeCell ref="AB49:AC49"/>
    <mergeCell ref="BD49:BE49"/>
    <mergeCell ref="T44:U44"/>
    <mergeCell ref="V44:W44"/>
    <mergeCell ref="X44:Y44"/>
    <mergeCell ref="P45:Q45"/>
    <mergeCell ref="R45:S45"/>
    <mergeCell ref="T45:U45"/>
    <mergeCell ref="V45:W45"/>
    <mergeCell ref="X45:Y45"/>
    <mergeCell ref="BF41:BI41"/>
    <mergeCell ref="V41:W41"/>
    <mergeCell ref="Z44:AA44"/>
    <mergeCell ref="AB44:AC44"/>
    <mergeCell ref="AD44:AE44"/>
    <mergeCell ref="Z42:AA42"/>
    <mergeCell ref="AB42:AC42"/>
    <mergeCell ref="AD42:AE42"/>
    <mergeCell ref="BD44:BE44"/>
    <mergeCell ref="BF44:BI44"/>
    <mergeCell ref="BD42:BE42"/>
    <mergeCell ref="V42:W42"/>
    <mergeCell ref="X42:Y42"/>
    <mergeCell ref="Z41:AA41"/>
    <mergeCell ref="AB41:AC41"/>
    <mergeCell ref="AD41:AE41"/>
    <mergeCell ref="AB40:AC40"/>
    <mergeCell ref="AD40:AE40"/>
    <mergeCell ref="BD40:BE40"/>
    <mergeCell ref="BD41:BE41"/>
    <mergeCell ref="B41:O41"/>
    <mergeCell ref="P41:Q41"/>
    <mergeCell ref="R41:S41"/>
    <mergeCell ref="T41:U41"/>
    <mergeCell ref="V39:W39"/>
    <mergeCell ref="X40:Y40"/>
    <mergeCell ref="B45:O45"/>
    <mergeCell ref="BF40:BI40"/>
    <mergeCell ref="Z39:AA39"/>
    <mergeCell ref="AB39:AC39"/>
    <mergeCell ref="AD39:AE39"/>
    <mergeCell ref="BD39:BE39"/>
    <mergeCell ref="BF39:BI39"/>
    <mergeCell ref="Z40:AA40"/>
    <mergeCell ref="X37:Y37"/>
    <mergeCell ref="AB46:AC46"/>
    <mergeCell ref="AB47:AC47"/>
    <mergeCell ref="X41:Y41"/>
    <mergeCell ref="R40:S40"/>
    <mergeCell ref="T40:U40"/>
    <mergeCell ref="V40:W40"/>
    <mergeCell ref="Z45:AA45"/>
    <mergeCell ref="AB45:AC45"/>
    <mergeCell ref="T39:U39"/>
    <mergeCell ref="B40:O40"/>
    <mergeCell ref="P40:Q40"/>
    <mergeCell ref="B39:O39"/>
    <mergeCell ref="P39:Q39"/>
    <mergeCell ref="R39:S39"/>
    <mergeCell ref="B46:O46"/>
    <mergeCell ref="B44:O44"/>
    <mergeCell ref="P44:Q44"/>
    <mergeCell ref="R44:S44"/>
    <mergeCell ref="P46:Q46"/>
    <mergeCell ref="B37:O37"/>
    <mergeCell ref="P37:Q37"/>
    <mergeCell ref="R37:S37"/>
    <mergeCell ref="T37:U37"/>
    <mergeCell ref="V37:W37"/>
    <mergeCell ref="X39:Y39"/>
    <mergeCell ref="B38:O38"/>
    <mergeCell ref="P38:Q38"/>
    <mergeCell ref="R38:S38"/>
    <mergeCell ref="T38:U38"/>
    <mergeCell ref="Z36:AA36"/>
    <mergeCell ref="AB36:AC36"/>
    <mergeCell ref="AD36:AE36"/>
    <mergeCell ref="BD36:BE36"/>
    <mergeCell ref="BF36:BI36"/>
    <mergeCell ref="AD37:AE37"/>
    <mergeCell ref="BD37:BE37"/>
    <mergeCell ref="BF37:BI37"/>
    <mergeCell ref="Z37:AA37"/>
    <mergeCell ref="AB37:AC37"/>
    <mergeCell ref="B36:O36"/>
    <mergeCell ref="P36:Q36"/>
    <mergeCell ref="R36:S36"/>
    <mergeCell ref="T36:U36"/>
    <mergeCell ref="V36:W36"/>
    <mergeCell ref="X36:Y36"/>
    <mergeCell ref="X35:Y35"/>
    <mergeCell ref="Z35:AA35"/>
    <mergeCell ref="AB35:AC35"/>
    <mergeCell ref="AD35:AE35"/>
    <mergeCell ref="BD35:BE35"/>
    <mergeCell ref="BF35:BI35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AB33:AC33"/>
    <mergeCell ref="AD33:AE33"/>
    <mergeCell ref="BD33:BE33"/>
    <mergeCell ref="AQ213:AV213"/>
    <mergeCell ref="A209:AF209"/>
    <mergeCell ref="BF118:BI118"/>
    <mergeCell ref="B34:O34"/>
    <mergeCell ref="P34:Q34"/>
    <mergeCell ref="R34:S34"/>
    <mergeCell ref="A157:D157"/>
    <mergeCell ref="AU31:AW31"/>
    <mergeCell ref="AF31:AH31"/>
    <mergeCell ref="BA31:BC31"/>
    <mergeCell ref="B33:O33"/>
    <mergeCell ref="P33:Q33"/>
    <mergeCell ref="R33:S33"/>
    <mergeCell ref="T33:U33"/>
    <mergeCell ref="V33:W33"/>
    <mergeCell ref="X33:Y33"/>
    <mergeCell ref="Z33:AA33"/>
    <mergeCell ref="AB31:AC32"/>
    <mergeCell ref="AD31:AE32"/>
    <mergeCell ref="AI31:AK31"/>
    <mergeCell ref="AL31:AN31"/>
    <mergeCell ref="AO31:AQ31"/>
    <mergeCell ref="AR31:AT31"/>
    <mergeCell ref="BD29:BE32"/>
    <mergeCell ref="BF29:BI32"/>
    <mergeCell ref="AX31:AZ31"/>
    <mergeCell ref="X30:AE30"/>
    <mergeCell ref="AF30:AK30"/>
    <mergeCell ref="AL30:AQ30"/>
    <mergeCell ref="AR30:AW30"/>
    <mergeCell ref="AX30:BC30"/>
    <mergeCell ref="X31:Y32"/>
    <mergeCell ref="Z31:AA32"/>
    <mergeCell ref="BF16:BF17"/>
    <mergeCell ref="BG16:BG17"/>
    <mergeCell ref="BH16:BH17"/>
    <mergeCell ref="BI16:BI17"/>
    <mergeCell ref="A29:A32"/>
    <mergeCell ref="B29:O32"/>
    <mergeCell ref="P29:Q32"/>
    <mergeCell ref="R29:S32"/>
    <mergeCell ref="T29:AE29"/>
    <mergeCell ref="AF29:BC29"/>
    <mergeCell ref="AW16:AW17"/>
    <mergeCell ref="AX16:BA16"/>
    <mergeCell ref="BB16:BB17"/>
    <mergeCell ref="BC16:BC17"/>
    <mergeCell ref="BD16:BD17"/>
    <mergeCell ref="BE16:BE17"/>
    <mergeCell ref="AG16:AI16"/>
    <mergeCell ref="AJ16:AJ17"/>
    <mergeCell ref="AK16:AN16"/>
    <mergeCell ref="AO16:AR16"/>
    <mergeCell ref="AS16:AS17"/>
    <mergeCell ref="AT16:AV16"/>
    <mergeCell ref="S16:S17"/>
    <mergeCell ref="T16:V16"/>
    <mergeCell ref="X16:Z16"/>
    <mergeCell ref="AA16:AA17"/>
    <mergeCell ref="AB16:AE16"/>
    <mergeCell ref="AF16:AF17"/>
    <mergeCell ref="AE7:AL7"/>
    <mergeCell ref="A16:A17"/>
    <mergeCell ref="B16:E16"/>
    <mergeCell ref="F16:F17"/>
    <mergeCell ref="G16:I16"/>
    <mergeCell ref="J16:J17"/>
    <mergeCell ref="K16:N16"/>
    <mergeCell ref="B7:P7"/>
    <mergeCell ref="W16:W17"/>
    <mergeCell ref="O16:R16"/>
    <mergeCell ref="E157:BE157"/>
    <mergeCell ref="BF157:BI157"/>
    <mergeCell ref="T118:U118"/>
    <mergeCell ref="V118:W118"/>
    <mergeCell ref="V48:W48"/>
    <mergeCell ref="BD70:BE70"/>
    <mergeCell ref="X48:Y48"/>
    <mergeCell ref="B49:O49"/>
    <mergeCell ref="X60:Y60"/>
    <mergeCell ref="P49:Q49"/>
    <mergeCell ref="A152:D152"/>
    <mergeCell ref="E152:BE152"/>
    <mergeCell ref="BF152:BI152"/>
    <mergeCell ref="B48:O48"/>
    <mergeCell ref="P48:Q48"/>
    <mergeCell ref="R48:S48"/>
    <mergeCell ref="T48:U48"/>
    <mergeCell ref="X52:Y52"/>
    <mergeCell ref="V52:W52"/>
    <mergeCell ref="X50:Y50"/>
    <mergeCell ref="V49:W49"/>
    <mergeCell ref="X49:Y49"/>
    <mergeCell ref="X46:Y46"/>
    <mergeCell ref="T46:U46"/>
    <mergeCell ref="V46:W46"/>
    <mergeCell ref="T30:U32"/>
    <mergeCell ref="V30:W32"/>
    <mergeCell ref="V34:W34"/>
    <mergeCell ref="T34:U34"/>
    <mergeCell ref="X34:Y34"/>
    <mergeCell ref="Z46:AA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X47:Y47"/>
    <mergeCell ref="Z47:AA47"/>
    <mergeCell ref="AD47:AE47"/>
    <mergeCell ref="BD47:BE47"/>
    <mergeCell ref="BF47:BI47"/>
    <mergeCell ref="BF70:BI70"/>
    <mergeCell ref="BF48:BI48"/>
    <mergeCell ref="Z49:AA49"/>
    <mergeCell ref="BF49:BI49"/>
    <mergeCell ref="AD49:AE49"/>
    <mergeCell ref="Z50:AA50"/>
    <mergeCell ref="BF71:BI71"/>
    <mergeCell ref="BD61:BE61"/>
    <mergeCell ref="BF61:BI61"/>
    <mergeCell ref="BD48:BE48"/>
    <mergeCell ref="AD62:AE62"/>
    <mergeCell ref="BD62:BE62"/>
    <mergeCell ref="BF62:BI62"/>
    <mergeCell ref="BF69:BI69"/>
    <mergeCell ref="BF51:BI51"/>
    <mergeCell ref="BF50:BI50"/>
    <mergeCell ref="X61:Y61"/>
    <mergeCell ref="Z61:AA61"/>
    <mergeCell ref="T62:U62"/>
    <mergeCell ref="V62:W62"/>
    <mergeCell ref="X62:Y62"/>
    <mergeCell ref="Z62:AA62"/>
    <mergeCell ref="BD112:BE112"/>
    <mergeCell ref="AB112:AC112"/>
    <mergeCell ref="Z113:AA113"/>
    <mergeCell ref="BD113:BE113"/>
    <mergeCell ref="Z110:AA110"/>
    <mergeCell ref="AB110:AC110"/>
    <mergeCell ref="AB113:AC113"/>
    <mergeCell ref="AD113:AE113"/>
    <mergeCell ref="AB111:AC111"/>
    <mergeCell ref="Z112:AA112"/>
    <mergeCell ref="AD110:AE110"/>
    <mergeCell ref="Z111:AA111"/>
    <mergeCell ref="AD112:AE112"/>
    <mergeCell ref="X110:Y110"/>
    <mergeCell ref="P110:Q110"/>
    <mergeCell ref="R110:S110"/>
    <mergeCell ref="V110:W110"/>
    <mergeCell ref="X112:Y112"/>
    <mergeCell ref="R112:S112"/>
    <mergeCell ref="X111:Y111"/>
    <mergeCell ref="V115:W115"/>
    <mergeCell ref="X115:Y115"/>
    <mergeCell ref="T115:U115"/>
    <mergeCell ref="R114:S114"/>
    <mergeCell ref="T114:U114"/>
    <mergeCell ref="V114:W114"/>
    <mergeCell ref="X114:Y114"/>
    <mergeCell ref="A116:A117"/>
    <mergeCell ref="B116:O116"/>
    <mergeCell ref="P116:Q116"/>
    <mergeCell ref="R116:S116"/>
    <mergeCell ref="T116:U116"/>
    <mergeCell ref="B115:O115"/>
    <mergeCell ref="R117:S117"/>
    <mergeCell ref="R115:S115"/>
    <mergeCell ref="P115:Q115"/>
    <mergeCell ref="AD116:AE116"/>
    <mergeCell ref="BF116:BI117"/>
    <mergeCell ref="BD116:BE116"/>
    <mergeCell ref="Z115:AA115"/>
    <mergeCell ref="BF109:BI109"/>
    <mergeCell ref="BF107:BI107"/>
    <mergeCell ref="AB115:AC115"/>
    <mergeCell ref="AD115:AE115"/>
    <mergeCell ref="BD115:BE115"/>
    <mergeCell ref="Z114:AA114"/>
    <mergeCell ref="Z117:AA117"/>
    <mergeCell ref="AB117:AC117"/>
    <mergeCell ref="B117:O117"/>
    <mergeCell ref="P117:Q117"/>
    <mergeCell ref="BF115:BI115"/>
    <mergeCell ref="AD117:AE117"/>
    <mergeCell ref="V116:W116"/>
    <mergeCell ref="X116:Y116"/>
    <mergeCell ref="Z116:AA116"/>
    <mergeCell ref="AB116:AC116"/>
    <mergeCell ref="E179:BE179"/>
    <mergeCell ref="E177:BE177"/>
    <mergeCell ref="A197:D197"/>
    <mergeCell ref="E197:BE197"/>
    <mergeCell ref="BF197:BI197"/>
    <mergeCell ref="A195:D195"/>
    <mergeCell ref="E195:BE195"/>
    <mergeCell ref="BF195:BI195"/>
    <mergeCell ref="BF180:BI180"/>
    <mergeCell ref="A183:D183"/>
    <mergeCell ref="BF193:BI193"/>
    <mergeCell ref="A193:D193"/>
    <mergeCell ref="BF182:BI182"/>
    <mergeCell ref="A184:D184"/>
    <mergeCell ref="A196:D196"/>
    <mergeCell ref="E196:BE196"/>
    <mergeCell ref="BF184:BI184"/>
    <mergeCell ref="A185:D185"/>
    <mergeCell ref="E194:BE194"/>
    <mergeCell ref="BF194:BI194"/>
    <mergeCell ref="V117:W117"/>
    <mergeCell ref="X117:Y117"/>
    <mergeCell ref="BF191:BI191"/>
    <mergeCell ref="A192:D192"/>
    <mergeCell ref="E192:BE192"/>
    <mergeCell ref="BF192:BI192"/>
    <mergeCell ref="A191:D191"/>
    <mergeCell ref="E191:BE191"/>
    <mergeCell ref="BF177:BI177"/>
    <mergeCell ref="A179:D179"/>
    <mergeCell ref="R43:S43"/>
    <mergeCell ref="B42:O42"/>
    <mergeCell ref="P42:Q42"/>
    <mergeCell ref="R42:S42"/>
    <mergeCell ref="T42:U42"/>
    <mergeCell ref="T117:U117"/>
    <mergeCell ref="B114:O114"/>
    <mergeCell ref="P114:Q114"/>
    <mergeCell ref="R49:S49"/>
    <mergeCell ref="T49:U49"/>
    <mergeCell ref="BF156:BI156"/>
    <mergeCell ref="X43:Y43"/>
    <mergeCell ref="BF42:BI43"/>
    <mergeCell ref="Z43:AA43"/>
    <mergeCell ref="AB43:AC43"/>
    <mergeCell ref="AD43:AE43"/>
    <mergeCell ref="BD43:BE43"/>
    <mergeCell ref="E150:BE150"/>
    <mergeCell ref="AB118:AC118"/>
    <mergeCell ref="Z118:AA118"/>
    <mergeCell ref="AW8:BB8"/>
    <mergeCell ref="A156:D156"/>
    <mergeCell ref="E156:BE156"/>
    <mergeCell ref="B43:O43"/>
    <mergeCell ref="A42:A43"/>
    <mergeCell ref="T43:U43"/>
    <mergeCell ref="V43:W43"/>
    <mergeCell ref="A138:G140"/>
    <mergeCell ref="H138:J140"/>
    <mergeCell ref="P43:Q43"/>
  </mergeCells>
  <printOptions horizontalCentered="1"/>
  <pageMargins left="0.32" right="0.28" top="0.4" bottom="0.32" header="0.11811023622047245" footer="0.11811023622047245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Ростислав</cp:lastModifiedBy>
  <cp:lastPrinted>2018-06-27T05:33:09Z</cp:lastPrinted>
  <dcterms:created xsi:type="dcterms:W3CDTF">1999-02-26T09:40:51Z</dcterms:created>
  <dcterms:modified xsi:type="dcterms:W3CDTF">2018-06-28T06:30:41Z</dcterms:modified>
  <cp:category/>
  <cp:version/>
  <cp:contentType/>
  <cp:contentStatus/>
</cp:coreProperties>
</file>