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60" windowHeight="8085" activeTab="0"/>
  </bookViews>
  <sheets>
    <sheet name="график_сводные" sheetId="1" r:id="rId1"/>
    <sheet name="ПРОЕКТ ПЛАНА ДЛЯ РАССМ" sheetId="2" r:id="rId2"/>
    <sheet name="практика" sheetId="3" r:id="rId3"/>
    <sheet name="Компетенции" sheetId="4" r:id="rId4"/>
    <sheet name="примечание" sheetId="5" r:id="rId5"/>
  </sheets>
  <definedNames>
    <definedName name="_xlfn.COUNTIFS" hidden="1">#NAME?</definedName>
    <definedName name="_xlnm.Print_Area" localSheetId="0">'график_сводные'!$A$1:$BH$27</definedName>
    <definedName name="_xlnm.Print_Area" localSheetId="3">'Компетенции'!$A$1:$F$83</definedName>
    <definedName name="_xlnm.Print_Area" localSheetId="2">'практика'!$A$1:$W$5</definedName>
    <definedName name="_xlnm.Print_Area" localSheetId="4">'примечание'!$A$1:$Y$37</definedName>
    <definedName name="_xlnm.Print_Area" localSheetId="1">'ПРОЕКТ ПЛАНА ДЛЯ РАССМ'!$B$1:$BU$145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P141" authorId="0">
      <text>
        <r>
          <rPr>
            <b/>
            <sz val="16"/>
            <rFont val="Tahoma"/>
            <family val="2"/>
          </rPr>
          <t>Не должно превышать 64 (допускается 64,4)</t>
        </r>
      </text>
    </comment>
  </commentList>
</comments>
</file>

<file path=xl/sharedStrings.xml><?xml version="1.0" encoding="utf-8"?>
<sst xmlns="http://schemas.openxmlformats.org/spreadsheetml/2006/main" count="1249" uniqueCount="673">
  <si>
    <t>УТВЕРЖДАЮ</t>
  </si>
  <si>
    <t xml:space="preserve">Типовой учебный план 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</si>
  <si>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</si>
  <si>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</si>
  <si>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</si>
  <si>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</si>
  <si>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</si>
  <si>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</si>
  <si>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</si>
  <si>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═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</si>
  <si>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</si>
  <si>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</si>
  <si>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</si>
  <si>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</si>
  <si>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</si>
  <si>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</si>
  <si>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>I</t>
  </si>
  <si>
    <t>II</t>
  </si>
  <si>
    <t>III</t>
  </si>
  <si>
    <t>IV</t>
  </si>
  <si>
    <t>V</t>
  </si>
  <si>
    <t>VI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</si>
  <si>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</si>
  <si>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</si>
  <si>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</si>
  <si>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</si>
  <si>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</si>
  <si>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</si>
  <si>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</si>
  <si>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</si>
  <si>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</si>
  <si>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</si>
  <si>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</si>
  <si>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Производственные практики</t>
  </si>
  <si>
    <t>Итоговая аттестация</t>
  </si>
  <si>
    <t>Всего</t>
  </si>
  <si>
    <t>учебная практика</t>
  </si>
  <si>
    <t>—</t>
  </si>
  <si>
    <t>III. План образовательного процесса</t>
  </si>
  <si>
    <t>№ п/п</t>
  </si>
  <si>
    <t>Экзамены</t>
  </si>
  <si>
    <t>Зачеты</t>
  </si>
  <si>
    <t>Аудиторных</t>
  </si>
  <si>
    <t>Из них</t>
  </si>
  <si>
    <t>лекции</t>
  </si>
  <si>
    <t>Распределение по курсам и семестрам</t>
  </si>
  <si>
    <t>I курс</t>
  </si>
  <si>
    <t>II курс</t>
  </si>
  <si>
    <t>III курс</t>
  </si>
  <si>
    <t>VI курс</t>
  </si>
  <si>
    <t>IV курс</t>
  </si>
  <si>
    <t>Всего зачетных единиц</t>
  </si>
  <si>
    <t>Всего часов</t>
  </si>
  <si>
    <t>Ауд. часов</t>
  </si>
  <si>
    <t>Зач. единиц</t>
  </si>
  <si>
    <t>Государственный компонент</t>
  </si>
  <si>
    <t>Философия</t>
  </si>
  <si>
    <t>практ. (лаб., семинары)</t>
  </si>
  <si>
    <t>Компонент учреждения высшего образования</t>
  </si>
  <si>
    <t>2.</t>
  </si>
  <si>
    <t>Медицинская биология и общая генетика</t>
  </si>
  <si>
    <t>Биоорганическая химия</t>
  </si>
  <si>
    <t>Биологическая химия</t>
  </si>
  <si>
    <t>Латинский язык</t>
  </si>
  <si>
    <t>Иностранный язык</t>
  </si>
  <si>
    <t>Анатомия человека</t>
  </si>
  <si>
    <t>Гистология, цитология, эмбриология</t>
  </si>
  <si>
    <t>1, 2</t>
  </si>
  <si>
    <t>Нормальная физиология</t>
  </si>
  <si>
    <t>Патологическая анатомия</t>
  </si>
  <si>
    <t>Радиационная и экологическая медицина</t>
  </si>
  <si>
    <t>Общая хирургия</t>
  </si>
  <si>
    <t>Лучевая диагностика и лучевая терапия</t>
  </si>
  <si>
    <t>Фармакология</t>
  </si>
  <si>
    <t xml:space="preserve">Топографическая анатомия и оперативная хирургия </t>
  </si>
  <si>
    <t>Судебная медицина</t>
  </si>
  <si>
    <t>Анестезиология и реаниматология</t>
  </si>
  <si>
    <t>Дерматовенерология</t>
  </si>
  <si>
    <t>Неврология и нейрохирургия</t>
  </si>
  <si>
    <t>Фтизиопульмонология</t>
  </si>
  <si>
    <t>Педиатрия</t>
  </si>
  <si>
    <t>Внутренние болезни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</si>
  <si>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</si>
  <si>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</si>
  <si>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</si>
  <si>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</si>
  <si>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Количество общих часов учебных занятий в неделю</t>
  </si>
  <si>
    <t>Хирургические болезни</t>
  </si>
  <si>
    <t>Акушерство и гинекология</t>
  </si>
  <si>
    <t>Офтальмология</t>
  </si>
  <si>
    <t>Детские инфекционные болезни</t>
  </si>
  <si>
    <t>Инфекционные болезни</t>
  </si>
  <si>
    <t>Психиатрия и наркология</t>
  </si>
  <si>
    <t>Общественное здоровье и здравоохранение</t>
  </si>
  <si>
    <t>Онкология</t>
  </si>
  <si>
    <t>Травматология и ортопедия</t>
  </si>
  <si>
    <t>Урология</t>
  </si>
  <si>
    <t>Детская хирургия</t>
  </si>
  <si>
    <t>Клиническая фармакология</t>
  </si>
  <si>
    <t>Физическая культура</t>
  </si>
  <si>
    <t>/72</t>
  </si>
  <si>
    <t>/76</t>
  </si>
  <si>
    <t>Семестр</t>
  </si>
  <si>
    <t>Название практики</t>
  </si>
  <si>
    <t>Недель</t>
  </si>
  <si>
    <t>Зачетных единиц</t>
  </si>
  <si>
    <t>/64</t>
  </si>
  <si>
    <t>Медицинская психология</t>
  </si>
  <si>
    <t>V курс</t>
  </si>
  <si>
    <t>История медицины</t>
  </si>
  <si>
    <t>VII. Дипломное проектирование</t>
  </si>
  <si>
    <t>/3-6</t>
  </si>
  <si>
    <t>/270</t>
  </si>
  <si>
    <t>/175</t>
  </si>
  <si>
    <t>/70</t>
  </si>
  <si>
    <t>/105</t>
  </si>
  <si>
    <t>/50</t>
  </si>
  <si>
    <t>/45</t>
  </si>
  <si>
    <t>/48</t>
  </si>
  <si>
    <t>/30</t>
  </si>
  <si>
    <t>Лекции</t>
  </si>
  <si>
    <t>Основы управления интеллектуальной собственностью</t>
  </si>
  <si>
    <t xml:space="preserve">производственная практика </t>
  </si>
  <si>
    <t>итоговая аттестация</t>
  </si>
  <si>
    <t>Дисциплины субординатуры</t>
  </si>
  <si>
    <t>Учебные практики</t>
  </si>
  <si>
    <t>Количество академических часов</t>
  </si>
  <si>
    <t>Дополнительные виды обучения</t>
  </si>
  <si>
    <t>=</t>
  </si>
  <si>
    <t>Патологическая физиология</t>
  </si>
  <si>
    <t>Биомедицинская этика и коммуникации в здравоохранении</t>
  </si>
  <si>
    <t>Белорусский язык: про-фессиональная лексика</t>
  </si>
  <si>
    <t>IV. Учебные практики</t>
  </si>
  <si>
    <t>V. Производственные практики</t>
  </si>
  <si>
    <t>VI. Итоговая аттестация</t>
  </si>
  <si>
    <t>I. График образовательного процесса</t>
  </si>
  <si>
    <t xml:space="preserve">Лабораторные </t>
  </si>
  <si>
    <t xml:space="preserve">Практические </t>
  </si>
  <si>
    <t>Семинарские</t>
  </si>
  <si>
    <t>Название  модуля, учебной дисциплины</t>
  </si>
  <si>
    <t>/38</t>
  </si>
  <si>
    <t>/32</t>
  </si>
  <si>
    <t>Факультативные дисциплины</t>
  </si>
  <si>
    <t>Медицинский уход и манипуляционная техника</t>
  </si>
  <si>
    <t>1. Медсестринская с манипуляционной техникой</t>
  </si>
  <si>
    <t>3. Врачебная клиническая</t>
  </si>
  <si>
    <t>/34</t>
  </si>
  <si>
    <t>1, 2д</t>
  </si>
  <si>
    <t>/1</t>
  </si>
  <si>
    <t>1.1.1</t>
  </si>
  <si>
    <t>1.1.2</t>
  </si>
  <si>
    <t>1.1.3</t>
  </si>
  <si>
    <t>1.1</t>
  </si>
  <si>
    <t>1.2</t>
  </si>
  <si>
    <t>Естественно-научный модуль</t>
  </si>
  <si>
    <t>1.2.1</t>
  </si>
  <si>
    <t>1.2.2</t>
  </si>
  <si>
    <t>1.3</t>
  </si>
  <si>
    <t>Лингвистический модуль</t>
  </si>
  <si>
    <t>1.3.1</t>
  </si>
  <si>
    <t>1.4</t>
  </si>
  <si>
    <t>1.4.1</t>
  </si>
  <si>
    <t>1д</t>
  </si>
  <si>
    <t>1.5</t>
  </si>
  <si>
    <t>1.6</t>
  </si>
  <si>
    <t>1.4.2</t>
  </si>
  <si>
    <t>2.1</t>
  </si>
  <si>
    <t>1.5.1</t>
  </si>
  <si>
    <t>1.5.2</t>
  </si>
  <si>
    <t>1.6.1</t>
  </si>
  <si>
    <t>1.6.2</t>
  </si>
  <si>
    <t>1.6.3</t>
  </si>
  <si>
    <t>Информатика в медицине</t>
  </si>
  <si>
    <t>Медицинская и биологическая физика</t>
  </si>
  <si>
    <t>Клиническая иммунология, аллергология</t>
  </si>
  <si>
    <t>Военно-медицинский модуль</t>
  </si>
  <si>
    <t>/3</t>
  </si>
  <si>
    <t>/60</t>
  </si>
  <si>
    <t>/36</t>
  </si>
  <si>
    <t>/20</t>
  </si>
  <si>
    <t>/25</t>
  </si>
  <si>
    <t>/10</t>
  </si>
  <si>
    <t>/18</t>
  </si>
  <si>
    <t>/54</t>
  </si>
  <si>
    <t>4.1</t>
  </si>
  <si>
    <t>4.2</t>
  </si>
  <si>
    <t>4.4</t>
  </si>
  <si>
    <t>/2</t>
  </si>
  <si>
    <t>Специальная военная подготовка</t>
  </si>
  <si>
    <t>1.7</t>
  </si>
  <si>
    <t>1.8</t>
  </si>
  <si>
    <t>1.9</t>
  </si>
  <si>
    <t>1.10</t>
  </si>
  <si>
    <t>1.11</t>
  </si>
  <si>
    <t>Акушерско-гинекологический модуль</t>
  </si>
  <si>
    <t>Безопасность жизне-деятельности человека</t>
  </si>
  <si>
    <t>Первая помощь. Основы ухода за пациентами</t>
  </si>
  <si>
    <t>1.3.2</t>
  </si>
  <si>
    <t>4, 5</t>
  </si>
  <si>
    <t>Морфологический модуль</t>
  </si>
  <si>
    <t>Биомедицинская статистика</t>
  </si>
  <si>
    <t>Профессиональная коммуникация в медицине</t>
  </si>
  <si>
    <t>Медицинское право</t>
  </si>
  <si>
    <t>7 семестр,                    
19 недель</t>
  </si>
  <si>
    <t>11 семестр,                                  
20 недель</t>
  </si>
  <si>
    <t>6 семестр,                                             
16 недель</t>
  </si>
  <si>
    <t>3 семестр,                               
19 недель</t>
  </si>
  <si>
    <t>Химический модуль</t>
  </si>
  <si>
    <t>ЗЕ</t>
  </si>
  <si>
    <t>Код компетенции</t>
  </si>
  <si>
    <t>1.8.1</t>
  </si>
  <si>
    <t>1.10.1</t>
  </si>
  <si>
    <t>1.11.1</t>
  </si>
  <si>
    <t>1.11.2</t>
  </si>
  <si>
    <t>2.1.2</t>
  </si>
  <si>
    <t>Микробиология, вирусология, иммунология</t>
  </si>
  <si>
    <t>Эпидемиология</t>
  </si>
  <si>
    <t>Коммуникационно-правовой модуль</t>
  </si>
  <si>
    <t>/8</t>
  </si>
  <si>
    <t>Поликлиническая педиатрия</t>
  </si>
  <si>
    <t>Оказание медицинской помощи при неотложных состояниях</t>
  </si>
  <si>
    <t>Пропедевтика детских болезней</t>
  </si>
  <si>
    <t>1. Педиатрия</t>
  </si>
  <si>
    <t>2. Детская хирургия</t>
  </si>
  <si>
    <t>3. Общественное здоровье и здравоохранение</t>
  </si>
  <si>
    <t>5 семестр,                               
19 недель</t>
  </si>
  <si>
    <t>8 семестр,                        
18 недель</t>
  </si>
  <si>
    <t>9 семестр,                                    
17 недель</t>
  </si>
  <si>
    <t>10 семестр,                        
14 недель</t>
  </si>
  <si>
    <t>12 семестр,                                   
17 недель</t>
  </si>
  <si>
    <t>Гигиена детей и подростков</t>
  </si>
  <si>
    <t>10д</t>
  </si>
  <si>
    <t>Онкология (в т.ч. онкогематология)</t>
  </si>
  <si>
    <t>Неонатология</t>
  </si>
  <si>
    <t>Оториноларингология (в т.ч. Стоматология)</t>
  </si>
  <si>
    <t>Общая гигиена и военная гигиена</t>
  </si>
  <si>
    <t>2.4.</t>
  </si>
  <si>
    <t>2.14.1</t>
  </si>
  <si>
    <t>6д</t>
  </si>
  <si>
    <t>Медицинская генетика</t>
  </si>
  <si>
    <t>VIII. Матрица компетенций</t>
  </si>
  <si>
    <t>Наименование компетенции</t>
  </si>
  <si>
    <t>Код модуля, учебной дисциплины</t>
  </si>
  <si>
    <t>1.7.1</t>
  </si>
  <si>
    <t>1.8.2</t>
  </si>
  <si>
    <t>1.9.1</t>
  </si>
  <si>
    <t>1.9.2</t>
  </si>
  <si>
    <t>1.12</t>
  </si>
  <si>
    <t>1.12.1</t>
  </si>
  <si>
    <t>1.12.2</t>
  </si>
  <si>
    <t>2.2</t>
  </si>
  <si>
    <t>2.2.1</t>
  </si>
  <si>
    <t>2.2.2</t>
  </si>
  <si>
    <t>2.3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</si>
  <si>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</si>
  <si>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</si>
  <si>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</si>
  <si>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</si>
  <si>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</si>
  <si>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</si>
  <si>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</si>
  <si>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</si>
  <si>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</si>
  <si>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</si>
  <si>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</si>
  <si>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</si>
  <si>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</si>
  <si>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</si>
  <si>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2.6</t>
  </si>
  <si>
    <t>2.6.1</t>
  </si>
  <si>
    <t>2.6.2</t>
  </si>
  <si>
    <t>2.7</t>
  </si>
  <si>
    <t>2.7.1</t>
  </si>
  <si>
    <t>2.7.2</t>
  </si>
  <si>
    <t>2.8</t>
  </si>
  <si>
    <t>2.8.1</t>
  </si>
  <si>
    <t>2.8.2</t>
  </si>
  <si>
    <t>2.8.3</t>
  </si>
  <si>
    <t>2.8.4</t>
  </si>
  <si>
    <t>2.9</t>
  </si>
  <si>
    <t>2.9.1</t>
  </si>
  <si>
    <t>2.10</t>
  </si>
  <si>
    <t>2.10.1</t>
  </si>
  <si>
    <t>2.10.2</t>
  </si>
  <si>
    <t>2.10.3</t>
  </si>
  <si>
    <t>2.11</t>
  </si>
  <si>
    <t>2.11.1</t>
  </si>
  <si>
    <t>2.11.2</t>
  </si>
  <si>
    <t>2.11.3</t>
  </si>
  <si>
    <t>2.12</t>
  </si>
  <si>
    <t>2.12.1</t>
  </si>
  <si>
    <t>2.13</t>
  </si>
  <si>
    <t>2.13.1</t>
  </si>
  <si>
    <t>2.13.2</t>
  </si>
  <si>
    <t>2.14</t>
  </si>
  <si>
    <t>2.14.2</t>
  </si>
  <si>
    <t>2.15.1</t>
  </si>
  <si>
    <t>1.10.2.</t>
  </si>
  <si>
    <t>2.1.1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</si>
  <si>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</si>
  <si>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</si>
  <si>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</si>
  <si>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</si>
  <si>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</si>
  <si>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</si>
  <si>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</si>
  <si>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</si>
  <si>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БПК-4</t>
  </si>
  <si>
    <t>БПК-5</t>
  </si>
  <si>
    <t>БПК-6</t>
  </si>
  <si>
    <t xml:space="preserve"> БПК-7</t>
  </si>
  <si>
    <t>БПК-8</t>
  </si>
  <si>
    <t>БПК-9</t>
  </si>
  <si>
    <t>БПК-11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</si>
  <si>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</si>
  <si>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</si>
  <si>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</si>
  <si>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</si>
  <si>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</si>
  <si>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</si>
  <si>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</si>
  <si>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</si>
  <si>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</si>
  <si>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</si>
  <si>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СК-12</t>
  </si>
  <si>
    <t>СК-13</t>
  </si>
  <si>
    <t>СК-14</t>
  </si>
  <si>
    <t>СК-15</t>
  </si>
  <si>
    <t>СК-16</t>
  </si>
  <si>
    <t>СК-19</t>
  </si>
  <si>
    <t>СК-20</t>
  </si>
  <si>
    <t>СК-21</t>
  </si>
  <si>
    <t>СК-22</t>
  </si>
  <si>
    <t>СК-23</t>
  </si>
  <si>
    <t>СК-24</t>
  </si>
  <si>
    <t>2.7.3</t>
  </si>
  <si>
    <t>7, 10</t>
  </si>
  <si>
    <t>Медицинская химия</t>
  </si>
  <si>
    <t>1.7.2</t>
  </si>
  <si>
    <t>Клиническая патология</t>
  </si>
  <si>
    <t>максимальное возможное кол-во часов в семестре</t>
  </si>
  <si>
    <t>общее кол-во часов +факульт+доп.виды</t>
  </si>
  <si>
    <t>кол-во недель экз.</t>
  </si>
  <si>
    <t>2.12.2</t>
  </si>
  <si>
    <t>1.7.2.</t>
  </si>
  <si>
    <t>БПК-10</t>
  </si>
  <si>
    <t xml:space="preserve">Биомедицинская этика </t>
  </si>
  <si>
    <t>Модуль «Информационные технологии в здравоохранении»</t>
  </si>
  <si>
    <t>БПК-16</t>
  </si>
  <si>
    <t>БПК-18</t>
  </si>
  <si>
    <t>Первая помощь</t>
  </si>
  <si>
    <t>Медицинская реабилитация и физиотерапия</t>
  </si>
  <si>
    <t>Оториноларингология. Стоматология</t>
  </si>
  <si>
    <t>Менеджмент и маркетинг в здравоохранении</t>
  </si>
  <si>
    <t>Базовый педиатрический модуль</t>
  </si>
  <si>
    <t xml:space="preserve">Терапевтический модуль </t>
  </si>
  <si>
    <t>Клинико-диагностический модуль</t>
  </si>
  <si>
    <t>Модуль госпитальной хирургии</t>
  </si>
  <si>
    <t>Модуль факультетской хирургии</t>
  </si>
  <si>
    <t>Модуль общей хирургии</t>
  </si>
  <si>
    <t xml:space="preserve">Педиатрический модуль </t>
  </si>
  <si>
    <t>Модуль поликлинической педиатрии</t>
  </si>
  <si>
    <t>Медико-биологический модуль</t>
  </si>
  <si>
    <t>Биохимический модуль</t>
  </si>
  <si>
    <t xml:space="preserve">Медико-профилактический модуль </t>
  </si>
  <si>
    <t>Экологический модуль</t>
  </si>
  <si>
    <t>1 семестр,                                 
19 недель</t>
  </si>
  <si>
    <t>2 семестр,                              
18 недель</t>
  </si>
  <si>
    <t>6д, 9</t>
  </si>
  <si>
    <t>4</t>
  </si>
  <si>
    <t>Эпидемиология и военная эпидемиология</t>
  </si>
  <si>
    <t>8д</t>
  </si>
  <si>
    <t>БПК-13</t>
  </si>
  <si>
    <t>БПК-14</t>
  </si>
  <si>
    <t>БПК-15</t>
  </si>
  <si>
    <t>БПК-17</t>
  </si>
  <si>
    <t>СК-17</t>
  </si>
  <si>
    <t>СК-18</t>
  </si>
  <si>
    <t>УК-8</t>
  </si>
  <si>
    <t>УК-6</t>
  </si>
  <si>
    <t>1. Ознакомительная</t>
  </si>
  <si>
    <t>1</t>
  </si>
  <si>
    <t>2д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</si>
  <si>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Допускается совмещение учебной практики с теоретическим обучением.</t>
    </r>
  </si>
  <si>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Профили и учебные дисциплины субординатуры утверждаются  Министерством здравоохранения Республики Беларусь.</t>
    </r>
  </si>
  <si>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 xml:space="preserve"> Интегрированная дисциплина «Безопасность жизнедеятельности человека» включает учебные дисциплины «Охрана труда», «Основы энергосбережения».</t>
    </r>
  </si>
  <si>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Для обучающихся по программе подготовки офицеров запаса.</t>
    </r>
  </si>
  <si>
    <t>к врачебной поликлинической практике.</t>
  </si>
  <si>
    <t>СОГЛАСОВАНО</t>
  </si>
  <si>
    <t>Начальник Главного управления профессионального образования</t>
  </si>
  <si>
    <t xml:space="preserve">Министерства образования Республики Беларусь  </t>
  </si>
  <si>
    <t>___________________________</t>
  </si>
  <si>
    <t>С.А.Касперович</t>
  </si>
  <si>
    <t>___________________ 2021</t>
  </si>
  <si>
    <t xml:space="preserve">Проректор по научно-методической работе Государственного учреждения </t>
  </si>
  <si>
    <t>образования «Республиканский институт высшей школы»</t>
  </si>
  <si>
    <t>И.В.Титович</t>
  </si>
  <si>
    <t>УК-7</t>
  </si>
  <si>
    <t>УК-9</t>
  </si>
  <si>
    <t>Модуль субординатуры по профилю "Педиатрия"</t>
  </si>
  <si>
    <t>Хирургия</t>
  </si>
  <si>
    <t>Биопсийно-секционный курс</t>
  </si>
  <si>
    <t>Первая помощь
Профессиональная коммуникация в медицине</t>
  </si>
  <si>
    <t>УК-10</t>
  </si>
  <si>
    <t>УК-11</t>
  </si>
  <si>
    <t>БПК-12</t>
  </si>
  <si>
    <t>Биомедицинская этика</t>
  </si>
  <si>
    <t>БПК-19</t>
  </si>
  <si>
    <t>БПК-20</t>
  </si>
  <si>
    <t>БПК-21</t>
  </si>
  <si>
    <t>УК-12</t>
  </si>
  <si>
    <t>Безопасность жизнедеятельности человека</t>
  </si>
  <si>
    <t>УК-1, 2</t>
  </si>
  <si>
    <r>
      <t>52</t>
    </r>
    <r>
      <rPr>
        <vertAlign val="superscript"/>
        <sz val="11"/>
        <rFont val="Arial"/>
        <family val="2"/>
      </rPr>
      <t>1</t>
    </r>
  </si>
  <si>
    <t>II. Сводные данные по бюджету времени (в неделях)</t>
  </si>
  <si>
    <t>Квалификация: Врач</t>
  </si>
  <si>
    <t>Срок обучения: 6 лет</t>
  </si>
  <si>
    <r>
      <t>29</t>
    </r>
    <r>
      <rPr>
        <sz val="11"/>
        <rFont val="Arial"/>
        <family val="2"/>
      </rPr>
      <t xml:space="preserve">
09</t>
    </r>
  </si>
  <si>
    <r>
      <t>27</t>
    </r>
    <r>
      <rPr>
        <sz val="11"/>
        <rFont val="Arial"/>
        <family val="2"/>
      </rPr>
      <t xml:space="preserve">
10</t>
    </r>
  </si>
  <si>
    <r>
      <t>29</t>
    </r>
    <r>
      <rPr>
        <sz val="11"/>
        <rFont val="Arial"/>
        <family val="2"/>
      </rPr>
      <t xml:space="preserve">
12</t>
    </r>
  </si>
  <si>
    <r>
      <t>26</t>
    </r>
    <r>
      <rPr>
        <sz val="11"/>
        <rFont val="Arial"/>
        <family val="2"/>
      </rPr>
      <t xml:space="preserve">
01</t>
    </r>
  </si>
  <si>
    <r>
      <t>23</t>
    </r>
    <r>
      <rPr>
        <sz val="11"/>
        <rFont val="Arial"/>
        <family val="2"/>
      </rPr>
      <t xml:space="preserve">
02</t>
    </r>
  </si>
  <si>
    <r>
      <t>30</t>
    </r>
    <r>
      <rPr>
        <sz val="11"/>
        <rFont val="Arial"/>
        <family val="2"/>
      </rPr>
      <t xml:space="preserve">
03</t>
    </r>
  </si>
  <si>
    <r>
      <t>27</t>
    </r>
    <r>
      <rPr>
        <sz val="11"/>
        <rFont val="Arial"/>
        <family val="2"/>
      </rPr>
      <t xml:space="preserve">
04</t>
    </r>
  </si>
  <si>
    <r>
      <t>29</t>
    </r>
    <r>
      <rPr>
        <sz val="11"/>
        <rFont val="Arial"/>
        <family val="2"/>
      </rPr>
      <t xml:space="preserve">
06</t>
    </r>
  </si>
  <si>
    <r>
      <t>27</t>
    </r>
    <r>
      <rPr>
        <sz val="11"/>
        <rFont val="Arial"/>
        <family val="2"/>
      </rPr>
      <t xml:space="preserve">
07</t>
    </r>
  </si>
  <si>
    <r>
      <t>05</t>
    </r>
    <r>
      <rPr>
        <sz val="11"/>
        <rFont val="Arial"/>
        <family val="2"/>
      </rPr>
      <t xml:space="preserve">
10</t>
    </r>
  </si>
  <si>
    <r>
      <t>02</t>
    </r>
    <r>
      <rPr>
        <sz val="11"/>
        <rFont val="Arial"/>
        <family val="2"/>
      </rPr>
      <t xml:space="preserve">
11</t>
    </r>
  </si>
  <si>
    <r>
      <t>04</t>
    </r>
    <r>
      <rPr>
        <sz val="11"/>
        <rFont val="Arial"/>
        <family val="2"/>
      </rPr>
      <t xml:space="preserve">
01</t>
    </r>
  </si>
  <si>
    <r>
      <t>01</t>
    </r>
    <r>
      <rPr>
        <sz val="11"/>
        <rFont val="Arial"/>
        <family val="2"/>
      </rPr>
      <t xml:space="preserve">
02</t>
    </r>
  </si>
  <si>
    <r>
      <t>01</t>
    </r>
    <r>
      <rPr>
        <sz val="11"/>
        <rFont val="Arial"/>
        <family val="2"/>
      </rPr>
      <t xml:space="preserve">
03</t>
    </r>
  </si>
  <si>
    <r>
      <t>05</t>
    </r>
    <r>
      <rPr>
        <sz val="11"/>
        <rFont val="Arial"/>
        <family val="2"/>
      </rPr>
      <t xml:space="preserve">
04</t>
    </r>
  </si>
  <si>
    <r>
      <t>03</t>
    </r>
    <r>
      <rPr>
        <sz val="11"/>
        <rFont val="Arial"/>
        <family val="2"/>
      </rPr>
      <t xml:space="preserve">
05</t>
    </r>
  </si>
  <si>
    <r>
      <t>05</t>
    </r>
    <r>
      <rPr>
        <sz val="11"/>
        <rFont val="Arial"/>
        <family val="2"/>
      </rPr>
      <t xml:space="preserve">
07</t>
    </r>
  </si>
  <si>
    <r>
      <t>02</t>
    </r>
    <r>
      <rPr>
        <sz val="11"/>
        <rFont val="Arial"/>
        <family val="2"/>
      </rPr>
      <t xml:space="preserve">
08</t>
    </r>
  </si>
  <si>
    <t>/28</t>
  </si>
  <si>
    <t>/206</t>
  </si>
  <si>
    <t>/1-10</t>
  </si>
  <si>
    <t>Белорусский язык (профессиональная лексика)</t>
  </si>
  <si>
    <t>СК-25</t>
  </si>
  <si>
    <t>Применять основные биофизические законы и знания об общих принципах функционирования медицинского оборудования для решения задач  профессиональной деятельности</t>
  </si>
  <si>
    <t xml:space="preserve">Работать с оптическими приборами, составлять родословную человека, решать задачи по молекулярной биологии, общей и медицинской генетике, паразитологии, распознавать возбудителей  паразитарных заболеваний и их переносчиков на макро- и микропрепаратах </t>
  </si>
  <si>
    <t>Применять знания о молекулярных основах процессов жизнедеятельности в организме человека в норме и при патологии, применять принципы биохимических методов диагностики заболеваний, основных методов биохимических исследований</t>
  </si>
  <si>
    <t>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человека, его органов и систем</t>
  </si>
  <si>
    <t xml:space="preserve">Использовать знания об этиологии и патогенезе общепатологических процессов, типовых форм патологии органов и систем организма человека при проведении патофизиологического анализа данных лабораторных исследований </t>
  </si>
  <si>
    <t>Использовать знания о фармакологических свойствах лекарственных средств, владеть принципами выбора рациональной фармакотерапии при заболеваниях и патологических состояниях организма человека и с профилактической целью</t>
  </si>
  <si>
    <t>Использовать знания о современных химических и физико-химических методах анализа биологических жидкостей, растворов лекарственных веществ и биополимеров для произведения расчетов на основании проведенных исследований</t>
  </si>
  <si>
    <t>Оценивать свойства природных и синтетических органических соединений, потенциально опасных для организма человека веществ, прогнозировать их поведение в биологических средах</t>
  </si>
  <si>
    <t xml:space="preserve">Оценивать теории медицины на современном этапе на основе знаний о развитии способов и методов организации и оказания медицинской помощи </t>
  </si>
  <si>
    <t>Применять принципы и нормы биомедицинской этики, этико-деонтологические принципы оказания медицинской помощи пациентам, оценивать конфликтные ситуации в медицине</t>
  </si>
  <si>
    <t xml:space="preserve">Применять знания об основных характеристиках микроорганизмов, вызывающих инфекционные заболевания человека, закономерностях функционирования иммунной системы, механизмах развития заболеваний при проведении микробиологической диагностики </t>
  </si>
  <si>
    <t>Использовать знания о рисках развития и патогенетических механизмах формирования  радиационно и экологически обусловленной патологии, применять методы индивидуальной и популяционной профилактики заболеваний и патологических состояний, обусловленных хроническим низкодозовым физико-химическим и биологическим воздействием</t>
  </si>
  <si>
    <t xml:space="preserve">Использовать знания о закономерностях эпидемического процесса, методах его изучения, иммунопрофилактике инфекционных заболеваний, принципах эпидемического обследования очага инфекционных болезней; организовывать профилактические, санитарно-противоэпидемические мероприятия при кишечных, аэрозольных инфекциях и инфекциях с преимущественно парентеральным механизмом заражения </t>
  </si>
  <si>
    <t>Использовать психолого-педагогические знания о целях и видах коммуникаций, организации коммуникативного процесса в здравоохранении, применять методы эффективной коммуникации при разрешении конфликтных ситуаций в медицине</t>
  </si>
  <si>
    <t>УК-13</t>
  </si>
  <si>
    <t>СК-26</t>
  </si>
  <si>
    <t>Оказывать первую помощь при несчастных случаях, травмах, кровотечениях, отравлениях и других состояниях, угрожающих жизни и здоровью человека</t>
  </si>
  <si>
    <t>Осуществлять медицинский уход за пациентами; выполнять сестринские лечебные и диагностические манипуляции; применять методы организации сбора медицинских отходов, стерилизации медицинских изделий</t>
  </si>
  <si>
    <t>Использовать знания анатомо-физиологических особенностей детского организма, семиотики поражения органов и систем для клинического обследования детей в различные возрастные периоды</t>
  </si>
  <si>
    <t>Осуществлять выбор наиболее эффективных методов медицинской реабилитации и физиотерапевтического воздействия в педиатрии</t>
  </si>
  <si>
    <t>Осуществлять выбор патофизиологически обоснованных методов диагностики, лечения и медицинской профилактики наиболее часто встречающихся заболеваний у детей и подростков</t>
  </si>
  <si>
    <t>Использовать методы выявления клинической симптоматики, диагностики и лечения основных иммунодефицитных и аллергических заболеваний у детей и подростков</t>
  </si>
  <si>
    <t>Применять методы обследования, диагностики, оказания первичной медицинской помощи при наиболее распространенных хирургических заболеваниях</t>
  </si>
  <si>
    <t>Применять знания о принципах, видах, формах и условиях оказания медицинской помощи населению для планирования основных показателей деятельности организаций здравоохранения, разработки и принятия управленческих решений</t>
  </si>
  <si>
    <t>Использовать методы статистического, экономического анализа для планирования основных показателей деятельности организаций здравоохранения, оценки медицинской, социальной, экономической эффективности в здравоохранении</t>
  </si>
  <si>
    <t>Осуществлять выбор эффективных и безопасных лекарственных средств для индивидуального лечения заболеваний у взрослых</t>
  </si>
  <si>
    <t>Оказывать первичную и специализированную медицинскую помощи при наиболее распространенных оториноларингологических и стоматологических заболеваниях, травмах, включая неотложные и угрожающие жизни состояния</t>
  </si>
  <si>
    <t>Проводить общую и местную анестезию, интенсивную терапию критических состояний, применять приемы сердечно-легочной реанимации при терминальных состояниях</t>
  </si>
  <si>
    <t>Проводить диагностику, лечение, медицинскую реабилитации при наиболее распространенных хирургических заболеваниях и травмах</t>
  </si>
  <si>
    <t>Проводить диагностику, лечение, медицинскую реабилитацию при заболеваниях и травмах опорно-двигательного аппарата</t>
  </si>
  <si>
    <t>Осуществлять диагностику, лечение и медицинскую реабилитацию урологических заболеваний у детей и подростков</t>
  </si>
  <si>
    <t>Проводить диагностику и применять принципы лечения заболеваний женских половых органов, ведения беременности, родов и послеродового периода, оказывать медицинскую помощь при неотложных состояниях в акушерстве и гинекологии</t>
  </si>
  <si>
    <t>Организовывать исследования и проводить оценку состояния здоровья детей и подростков в связи с условиями среды обитания; разрабатывать профилактические мероприятия с учетом факторов риска</t>
  </si>
  <si>
    <t>Проводить обследование новорожденного ребенка, владеть методами диагностики, дифференциальной диагностики, формулировки клинического диагноза, лечения и профилактики основных заболеваний у новорожденных детей</t>
  </si>
  <si>
    <t>Организовывать первичную медицинскую помощь детям в амбулаторных условиях, оказывать помощь детям при неотложных состояниях на догоспитальном этапе</t>
  </si>
  <si>
    <t>Использовать знания о клинических проявлениях, принципах диагностики и лечения наиболее часто встречающихся наследственных заболеваний у детей и подростков</t>
  </si>
  <si>
    <t>Применять методы диагностики и профилактики психических расстройств (заболеваний), начинающихся в детском и подростковом возрасте, методы оказания психиатрической помощи детям и подросткам</t>
  </si>
  <si>
    <t>Проводить постановку клинического диагноза, проводить дифференциальную диагностику, лечение, профилактику наиболее часто встречающихся заболеваний и травм у детей и подростков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</si>
  <si>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</si>
  <si>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 xml:space="preserve">Организовывать медицинское обеспечение воинской части в военное время </t>
  </si>
  <si>
    <t>11, 12</t>
  </si>
  <si>
    <t>Продолжение типового учебного плана по специальности 1-79 01 02 «Педиатрия», регистрационный № ___________________</t>
  </si>
  <si>
    <t>2. Медицинский уход</t>
  </si>
  <si>
    <t>1.13</t>
  </si>
  <si>
    <t>1.13.1</t>
  </si>
  <si>
    <t>1.13.2</t>
  </si>
  <si>
    <t>1.13.3</t>
  </si>
  <si>
    <t>1.13.4</t>
  </si>
  <si>
    <t>СК-11</t>
  </si>
  <si>
    <t>СК-27</t>
  </si>
  <si>
    <t>СК-28</t>
  </si>
  <si>
    <t>СК-29</t>
  </si>
  <si>
    <t>СК-30</t>
  </si>
  <si>
    <t>СК-31</t>
  </si>
  <si>
    <t>СК-32</t>
  </si>
  <si>
    <t>2.14.1.1</t>
  </si>
  <si>
    <t>2.14.1.2</t>
  </si>
  <si>
    <t>2.14.1.3</t>
  </si>
  <si>
    <t>2.14.2.1</t>
  </si>
  <si>
    <t>2.14.2.2</t>
  </si>
  <si>
    <t>2.14.2.3</t>
  </si>
  <si>
    <t>2.14.2.4</t>
  </si>
  <si>
    <t>2.14.2.5</t>
  </si>
  <si>
    <t>СК-33</t>
  </si>
  <si>
    <t>СК-34</t>
  </si>
  <si>
    <t>СК-35</t>
  </si>
  <si>
    <t>СК-36</t>
  </si>
  <si>
    <t>СК-37</t>
  </si>
  <si>
    <t>4 семестр,                               
18 недель</t>
  </si>
  <si>
    <t>/35</t>
  </si>
  <si>
    <r>
      <rPr>
        <vertAlign val="superscript"/>
        <sz val="14"/>
        <rFont val="Arial"/>
        <family val="2"/>
      </rPr>
      <t>7</t>
    </r>
    <r>
      <rPr>
        <sz val="14"/>
        <rFont val="Arial"/>
        <family val="2"/>
      </rPr>
      <t xml:space="preserve"> При составлении учебного плана учреждения высшего образования планируется обязательное изучение учебной дисциплины «Медицина катастроф».</t>
    </r>
  </si>
  <si>
    <r>
      <rPr>
        <vertAlign val="superscript"/>
        <sz val="14"/>
        <rFont val="Arial"/>
        <family val="2"/>
      </rPr>
      <t>8</t>
    </r>
    <r>
      <rPr>
        <sz val="14"/>
        <rFont val="Arial"/>
        <family val="2"/>
      </rPr>
      <t xml:space="preserve"> Соотношение аудиторных часов и самостоятельной работы для данной учебной дисциплины обусловлено необходимостью изучения в мирное время организации </t>
    </r>
  </si>
  <si>
    <t xml:space="preserve">и оказания экстренной медицинской помощи пострадавшим при современных боевых патологиях, ранениях и травмах различной локализации в условиях этапного </t>
  </si>
  <si>
    <t xml:space="preserve">лечения и требует овладения под непосредственным руководством преподавателей техникой выполнения медицинских вмешательств с использованием технологий </t>
  </si>
  <si>
    <t xml:space="preserve">симуляционного обучения и закрепления полученных практических навыков в организации здравоохранения при курации профильных синдромосходных пациентов </t>
  </si>
  <si>
    <t>со схожей клинической картиной.</t>
  </si>
  <si>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Перечень факультативных дисциплин устанавливается учреждением высшего образования.</t>
    </r>
  </si>
  <si>
    <r>
      <rPr>
        <vertAlign val="superscript"/>
        <sz val="14"/>
        <rFont val="Arial"/>
        <family val="2"/>
      </rPr>
      <t>9</t>
    </r>
    <r>
      <rPr>
        <sz val="14"/>
        <rFont val="Arial"/>
        <family val="2"/>
      </rPr>
      <t xml:space="preserve"> Итоговая практика для обучающихся по программе подготовки офицеров запаса в объеме 216 часов с экзаменом за весь период обучения приравнивается </t>
    </r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</si>
  <si>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</si>
  <si>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r>
      <rPr>
        <vertAlign val="superscript"/>
        <sz val="14"/>
        <rFont val="Arial"/>
        <family val="2"/>
      </rPr>
      <t xml:space="preserve">4 </t>
    </r>
    <r>
      <rPr>
        <sz val="14"/>
        <rFont val="Arial"/>
        <family val="2"/>
      </rPr>
      <t xml:space="preserve">При составлении учебного плана учреждения высшего образования  по специальности учебная дисциплина «Основы управления интеллектуальной собственностью» </t>
    </r>
  </si>
  <si>
    <t>Использовать знания о строении и топографии, функции органов и систем тела человека в возрастном аспекте для выполнения базовых хирургических манипуляций</t>
  </si>
  <si>
    <t>Использовать методы обследования, диагностики, дифференциальной диагностики для  формулировки клинического диагноза, применять методы лечения и профилактики основных неврологических заболеваний у детей и подростков</t>
  </si>
  <si>
    <t>Проводить судебно-медицинскую экспертизу трупа и живых лиц, осмотр трупа на месте его обнаружения (происшествия)</t>
  </si>
  <si>
    <t>Аллергические заболевания в педиатрии</t>
  </si>
  <si>
    <t xml:space="preserve">Применять дополнительные методы диагностики и оказания медицинской помощи при аллергических, врожденных и наследственных  заболеваниях у детей и подростков </t>
  </si>
  <si>
    <t>Государственные экзамены по специальности:</t>
  </si>
  <si>
    <t>Модуль «Введение в специальность»</t>
  </si>
  <si>
    <t>Модуль «Медицинский уход»</t>
  </si>
  <si>
    <t>Модуль «Психическое здоровье»</t>
  </si>
  <si>
    <t>Модуль «Общественное здоровье и здравоохранение»</t>
  </si>
  <si>
    <r>
      <t>Военно-полевая терапия</t>
    </r>
    <r>
      <rPr>
        <vertAlign val="superscript"/>
        <sz val="15"/>
        <rFont val="Arial"/>
        <family val="2"/>
      </rPr>
      <t>8</t>
    </r>
  </si>
  <si>
    <r>
      <t>Военно-полевая хирургия</t>
    </r>
    <r>
      <rPr>
        <vertAlign val="superscript"/>
        <sz val="15"/>
        <rFont val="Arial"/>
        <family val="2"/>
      </rPr>
      <t>8</t>
    </r>
  </si>
  <si>
    <r>
      <t>Медицина катастроф</t>
    </r>
    <r>
      <rPr>
        <vertAlign val="superscript"/>
        <sz val="15"/>
        <rFont val="Arial"/>
        <family val="2"/>
      </rPr>
      <t>7</t>
    </r>
  </si>
  <si>
    <r>
      <t>Модуль субординатуры по профилю «Педиатрия»</t>
    </r>
    <r>
      <rPr>
        <b/>
        <vertAlign val="superscript"/>
        <sz val="15"/>
        <rFont val="Arial"/>
        <family val="2"/>
      </rPr>
      <t>2</t>
    </r>
  </si>
  <si>
    <r>
      <t>Аллергические заболевания в педиатрии</t>
    </r>
    <r>
      <rPr>
        <vertAlign val="superscript"/>
        <sz val="15"/>
        <rFont val="Arial"/>
        <family val="2"/>
      </rPr>
      <t>3</t>
    </r>
  </si>
  <si>
    <r>
      <t>Основы управления интеллектуальной собственностью</t>
    </r>
    <r>
      <rPr>
        <vertAlign val="superscript"/>
        <sz val="15"/>
        <rFont val="Arial"/>
        <family val="2"/>
      </rPr>
      <t>4</t>
    </r>
  </si>
  <si>
    <r>
      <t>Безопасность жизнедеятельности человека</t>
    </r>
    <r>
      <rPr>
        <vertAlign val="superscript"/>
        <sz val="15"/>
        <rFont val="Arial"/>
        <family val="2"/>
      </rPr>
      <t>5</t>
    </r>
  </si>
  <si>
    <r>
      <t>Специальная военная подготовка</t>
    </r>
    <r>
      <rPr>
        <vertAlign val="superscript"/>
        <sz val="15"/>
        <rFont val="Arial"/>
        <family val="2"/>
      </rPr>
      <t>6</t>
    </r>
  </si>
  <si>
    <t>Проводить диагностику, лечение, медицинскую реабилитацию при наиболее распространенных злокачественных новообразованиях у детей и подростков</t>
  </si>
  <si>
    <t>Использовать знания о закономерностях воздействия факторов среды обитания на здоровье человека, применять методы гигиенической оценки среды обитания человека для разработки базовых профилактических здоровьесберегающих мероприятий; осуществлять организацию и проведение санитарно-гигиенических мероприятий среди военнослужащих</t>
  </si>
  <si>
    <t>Применять нормативные правовые акты для регулирования правоотношений в сфере здравоохранения, досудебного регулирования споров между субъектами медицинских правоотношений, анализа коррупционных рисков, предотвращения коррупционных нарушений</t>
  </si>
  <si>
    <t>1.12, 2.2.1</t>
  </si>
  <si>
    <t>планируется в качестве дисциплины компонента учреждения высшего образования.</t>
  </si>
  <si>
    <r>
      <t xml:space="preserve">общее кол. часов с учетом ДВО и факульт. </t>
    </r>
    <r>
      <rPr>
        <b/>
        <sz val="14"/>
        <color indexed="10"/>
        <rFont val="Times New Roman"/>
        <family val="1"/>
      </rPr>
      <t>не более 72 часов</t>
    </r>
  </si>
  <si>
    <r>
      <t xml:space="preserve">сумма аудиторных часов +факульт.+доп.виды
не больше </t>
    </r>
    <r>
      <rPr>
        <b/>
        <sz val="14"/>
        <color indexed="10"/>
        <rFont val="Times New Roman"/>
        <family val="1"/>
      </rPr>
      <t>40 в неделю</t>
    </r>
  </si>
  <si>
    <r>
      <t xml:space="preserve">макс. объем уч.нагрузки в неделю вместе с БЖЧ и бел.яз. </t>
    </r>
    <r>
      <rPr>
        <b/>
        <sz val="14"/>
        <color indexed="10"/>
        <rFont val="Times New Roman"/>
        <family val="1"/>
      </rPr>
      <t>не более 54</t>
    </r>
    <r>
      <rPr>
        <b/>
        <sz val="14"/>
        <rFont val="Times New Roman"/>
        <family val="1"/>
      </rPr>
      <t>, минимум 46</t>
    </r>
  </si>
  <si>
    <t>Владеть навыками словообразования, произношения и употребления греко-латинской медицинской терминологии в профессиональной деятельности</t>
  </si>
  <si>
    <t>Использовать знания клинической симптоматики хирургических заболеваний в детском возрасте, проводить лечение, медицинскую реабилитацию наиболее распространенных хирургических заболеваний и травм у детей и подростков</t>
  </si>
  <si>
    <t>Использовать знания о методах лучевой диагностики и лучевой терапии, выявлять основные лучевые признаки заболеваний органов</t>
  </si>
  <si>
    <t>Использовать знания о клинической симптоматике кожных заболеваний и инфекций, передаваемых половым путем, владеть методами обследования пациентов, диагностики, принципами лечения, медицинской реабилитации и профилактики при дерматовенерологических заболеваниях</t>
  </si>
  <si>
    <t>Использовать знания о клинической симптоматике, методах диагностики, лечения и профилактики туберкулеза и болезней органов дыхания</t>
  </si>
  <si>
    <t>Оценивать клиническую симптоматику, проводить лабораторную диагностику и лечение наиболее распространенных инфекционных заболеваний</t>
  </si>
  <si>
    <t>Оказывать первичную и специализированную медицинскую помощь при наиболее распространенных заболеваниях  внутренних органов, включая неотложные и угрожающие жизни состояния</t>
  </si>
  <si>
    <t>Проводить дифференциальную диагностику, выбирать тактику лечения и оказания скорой медицинской помощи при неотложных состояниях у детей и подростков</t>
  </si>
  <si>
    <t>Оценивать клиническую симптоматику, проводить лабораторную диагностику и лечение наиболее распространенных детских инфекционных заболеваний</t>
  </si>
  <si>
    <t>Использовать знания о закономерностях развития и анатомического строения тела человека, его систем и органов с учетом возрастных, половых и индивидуальных особенностей</t>
  </si>
  <si>
    <t>Использовать знания о строении организма человека на тканевом, клеточном и субклеточном уровнях, эмбриогенезе человека и его нарушениях; дифференцировать структурные элементы тканей и органов в норме при микроскопическом исследовании</t>
  </si>
  <si>
    <t>Использовать знания об этиологии, патогенезе, морфологических особенностях общепатологических процессов и заболеваний на разных этапах их развития, причинах и механизмах умирания (танатогенез),  интерпретировать результаты патологоанатомических методов исследования секционного, биопсийного и операционного материала, применять методы клинико-анатомического анализа и построения клинического и патологоанатомического диагнозов</t>
  </si>
  <si>
    <t>/12</t>
  </si>
  <si>
    <t xml:space="preserve">Использовать современные методы клинического, лабораторного, инструментального обследования офтальмологических заболеваний, применять методы их лечения и профилактики </t>
  </si>
  <si>
    <t>Организовывать оказание медицинской помощи при чрезвычайных ситуациях, оказывать терапевтическую и хирургическую помощь военнослужащим и пострадавшим на этапах медицинской эвакуации</t>
  </si>
  <si>
    <t>Военно-полевая терапия
Военно-полевая хирургия
Медицина катастроф</t>
  </si>
  <si>
    <t xml:space="preserve"> СК-36</t>
  </si>
  <si>
    <r>
      <t>2. Врачебная поликлиническая</t>
    </r>
    <r>
      <rPr>
        <vertAlign val="superscript"/>
        <sz val="10"/>
        <rFont val="Arial"/>
        <family val="2"/>
      </rPr>
      <t>7</t>
    </r>
  </si>
  <si>
    <t>УЧЕБНЫЙ ПЛАН ПО СПЕЦИАЛЬНОСТИ 1-79 01 02 "ПЕДИАТРИЯ"</t>
  </si>
  <si>
    <t>История белорусской государственности</t>
  </si>
  <si>
    <t>Современная политэкономия</t>
  </si>
  <si>
    <t>Личностно-профессиональное развитие специалиста</t>
  </si>
  <si>
    <t>Социология</t>
  </si>
  <si>
    <t>2.1.3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</si>
  <si>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</si>
  <si>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</si>
  <si>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</si>
  <si>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</si>
  <si>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Обладать способностью 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</si>
  <si>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>3д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</si>
  <si>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</si>
  <si>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</si>
  <si>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</si>
  <si>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</si>
  <si>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</si>
  <si>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И.А.Старовойтова</t>
  </si>
  <si>
    <t>Регистрационный № ________________</t>
  </si>
  <si>
    <t>_______________ 20__</t>
  </si>
  <si>
    <t>ПРИМЕРНЫЙ УЧЕБНЫЙ ПЛАН</t>
  </si>
  <si>
    <t>Специальность 7-07-0911-06 Педиатрия</t>
  </si>
  <si>
    <t>Степень: Магистр</t>
  </si>
  <si>
    <t>Модуль "Социально-гуманитарные дисциплины-1"</t>
  </si>
  <si>
    <t>Модуль "Социально-гуманитарные дисциплины-2"</t>
  </si>
  <si>
    <t>Великая Отечественная война советского народа (в контексте Второй мировой войны)</t>
  </si>
  <si>
    <t>___________________ 20__</t>
  </si>
  <si>
    <t>Сопредседатель УМО по высшему медицинскому, фармацевтическому образованию</t>
  </si>
  <si>
    <t>С.П.Рубникович</t>
  </si>
  <si>
    <t>Начальник Главного управления организационно-кадровой работы</t>
  </si>
  <si>
    <t>Министерства здравоохранения Республики Беларусь</t>
  </si>
  <si>
    <t>О.Н.Колюпанова</t>
  </si>
  <si>
    <t>Эксперт-нормоконтролер</t>
  </si>
  <si>
    <t>О.А.Шимановская</t>
  </si>
  <si>
    <t>Председатель НМС по педиатрии</t>
  </si>
  <si>
    <t>А.Л.Гурин</t>
  </si>
  <si>
    <t>Рекомендован к утверждению Президиумом Совета УМО
по высшему медицинскому, фармацевтическому образованию</t>
  </si>
  <si>
    <t>Е.Н.Кроткова</t>
  </si>
  <si>
    <t>УК-14</t>
  </si>
  <si>
    <t>УК-15</t>
  </si>
  <si>
    <t>Социология здоровья</t>
  </si>
  <si>
    <t>Применять методы изучения здоровья населения для организации и проведения мероприятий превентивного (предупреждающего) и протективного (защитного) характера</t>
  </si>
  <si>
    <t>Культурология</t>
  </si>
  <si>
    <t>УК-16</t>
  </si>
  <si>
    <t>Профессиональная коммуникация в медицине
Медицинское право</t>
  </si>
  <si>
    <t>2.15</t>
  </si>
  <si>
    <t>2.16</t>
  </si>
  <si>
    <t>2.15.2</t>
  </si>
  <si>
    <t>2.15.3</t>
  </si>
  <si>
    <t>.2.16.1</t>
  </si>
  <si>
    <t>2.16.2</t>
  </si>
  <si>
    <t>2.16.3</t>
  </si>
  <si>
    <t>2.16.4</t>
  </si>
  <si>
    <t>2.16.1</t>
  </si>
  <si>
    <t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</si>
  <si>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/502</t>
  </si>
  <si>
    <t>/500</t>
  </si>
  <si>
    <t>2.16.5</t>
  </si>
  <si>
    <t>2.16.6</t>
  </si>
  <si>
    <t>2.16.7</t>
  </si>
  <si>
    <t>Философия и методология науки</t>
  </si>
  <si>
    <t>/124</t>
  </si>
  <si>
    <t>/40</t>
  </si>
  <si>
    <t>Основы информационных технологий</t>
  </si>
  <si>
    <t>/142</t>
  </si>
  <si>
    <t>/96</t>
  </si>
  <si>
    <t>/26</t>
  </si>
  <si>
    <t>/24</t>
  </si>
  <si>
    <t>/16</t>
  </si>
  <si>
    <t>/4</t>
  </si>
  <si>
    <t>/14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</si>
  <si>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</si>
  <si>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</si>
  <si>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Социология/ Социология здоровья</t>
  </si>
  <si>
    <t>Личностно-профессиональное развитие специалиста/ Культурология</t>
  </si>
  <si>
    <t>/10д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</si>
  <si>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</si>
  <si>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</si>
  <si>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Белорусский язык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</si>
  <si>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</si>
  <si>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</si>
  <si>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УК-17</t>
  </si>
  <si>
    <t>УК-18</t>
  </si>
  <si>
    <t>УК-19</t>
  </si>
  <si>
    <t>Иностранный язык (канд.мин.)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</si>
  <si>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</si>
  <si>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УПК-1</t>
  </si>
  <si>
    <t>УПК-2</t>
  </si>
  <si>
    <t>УПК-3</t>
  </si>
  <si>
    <t>УК-20</t>
  </si>
  <si>
    <t>УК-5,6,7 БПК-18,19</t>
  </si>
  <si>
    <t>УК-7,
 СК-1</t>
  </si>
  <si>
    <t xml:space="preserve"> </t>
  </si>
  <si>
    <r>
      <t>Основы информационных технологий</t>
    </r>
    <r>
      <rPr>
        <vertAlign val="superscript"/>
        <sz val="15"/>
        <rFont val="Arial"/>
        <family val="2"/>
      </rPr>
      <t>10</t>
    </r>
  </si>
  <si>
    <r>
      <t>Философия и методология науки</t>
    </r>
    <r>
      <rPr>
        <vertAlign val="superscript"/>
        <sz val="15"/>
        <rFont val="Arial"/>
        <family val="2"/>
      </rPr>
      <t>10</t>
    </r>
  </si>
  <si>
    <r>
      <t>Иностранный язык</t>
    </r>
    <r>
      <rPr>
        <vertAlign val="superscript"/>
        <sz val="15"/>
        <rFont val="Arial"/>
        <family val="2"/>
      </rPr>
      <t>10</t>
    </r>
  </si>
  <si>
    <t>Осуществлять коммуникации на иностранном языке для решения задач межличностного и межкультурного взаимодействия</t>
  </si>
  <si>
    <t>Министра здравоохранения</t>
  </si>
  <si>
    <t>Использовать основные понятия и термины специальной лексики белорусского языка в профессиональной деятельности</t>
  </si>
  <si>
    <t>Использовать средства физической культуры и спорта для сохранения и укрепления здоровья, профилактики заболеваний</t>
  </si>
  <si>
    <t>Владеть основами исследовательской деятельности, осуществлять поиск, анализ и синтез информации</t>
  </si>
  <si>
    <t>Работать в команде, толерантно воспринимать социальные, этнические, конфессиональные, культурные и иные различия</t>
  </si>
  <si>
    <t>Проводить обследование больного ребенка, диагностику, дифференциальную диагностику, формулировать клинический диагноз,  владеть принципами лечения и профилактики основных заболеваний у детей и подростков</t>
  </si>
  <si>
    <t>Структурировать диагностические данные с учетом психологических особенностей детей и подростков, владеть психодиагностическими методиками и психокоррекционными методами</t>
  </si>
  <si>
    <t>УК-11/УК-14</t>
  </si>
  <si>
    <t>УК-13/УК-15</t>
  </si>
  <si>
    <t>Разработан в качестве примера реализации образовательного стандарта по специальности 7-07-0911-06 «Педиатрия».</t>
  </si>
  <si>
    <r>
      <rPr>
        <vertAlign val="superscript"/>
        <sz val="14"/>
        <rFont val="Arial"/>
        <family val="2"/>
      </rPr>
      <t>10</t>
    </r>
    <r>
      <rPr>
        <sz val="14"/>
        <rFont val="Arial"/>
        <family val="2"/>
      </rPr>
      <t xml:space="preserve"> Общеобразовательные дисциплины «Философия и методология науки», «Иностранный язык», «Основы информационных технологий» включаются в перечень учебных дисциплин модуля «Дополнительные виды обучения» учебного плана и изучаются по выбору обучающегося.</t>
    </r>
  </si>
  <si>
    <t>Протокол № 4 от 21.07.2022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</si>
</sst>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23"/>
      <name val="Arial"/>
      <family val="2"/>
    </font>
    <font>
      <vertAlign val="superscript"/>
      <sz val="11"/>
      <name val="Arial"/>
      <family val="2"/>
    </font>
    <font>
      <u val="single"/>
      <sz val="13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color indexed="9"/>
      <name val="Times New Roman"/>
      <family val="1"/>
    </font>
    <font>
      <sz val="9"/>
      <name val="Times New Roman"/>
      <family val="1"/>
    </font>
    <font>
      <b/>
      <sz val="1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4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5"/>
      <name val="Times New Roman"/>
      <family val="1"/>
    </font>
    <font>
      <b/>
      <sz val="15"/>
      <color indexed="9"/>
      <name val="Arial"/>
      <family val="2"/>
    </font>
    <font>
      <b/>
      <sz val="15"/>
      <color indexed="9"/>
      <name val="Times New Roman"/>
      <family val="1"/>
    </font>
    <font>
      <sz val="15"/>
      <color indexed="9"/>
      <name val="Arial"/>
      <family val="2"/>
    </font>
    <font>
      <i/>
      <sz val="15"/>
      <name val="Times New Roman"/>
      <family val="1"/>
    </font>
    <font>
      <vertAlign val="superscript"/>
      <sz val="15"/>
      <name val="Arial"/>
      <family val="2"/>
    </font>
    <font>
      <b/>
      <vertAlign val="superscript"/>
      <sz val="15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vertAlign val="superscript"/>
      <sz val="10"/>
      <name val="Arial"/>
      <family val="2"/>
    </font>
    <font>
      <b/>
      <i/>
      <sz val="14"/>
      <name val="Times New Roman"/>
      <family val="1"/>
    </font>
    <font>
      <b/>
      <sz val="16"/>
      <name val="Tahom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sz val="15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5"/>
      <color rgb="FFFF0000"/>
      <name val="Arial"/>
      <family val="2"/>
    </font>
    <font>
      <sz val="15"/>
      <color rgb="FFFF0000"/>
      <name val="Arial"/>
      <family val="2"/>
    </font>
    <font>
      <sz val="15"/>
      <color theme="0"/>
      <name val="Arial"/>
      <family val="2"/>
    </font>
    <font>
      <b/>
      <sz val="15"/>
      <color theme="1"/>
      <name val="Arial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rgb="FF000000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7" fillId="3" borderId="0" applyNumberFormat="0" applyBorder="0" applyAlignment="0" applyProtection="0"/>
    <xf numFmtId="0" fontId="1" fillId="4" borderId="0" applyNumberFormat="0" applyBorder="0" applyAlignment="0" applyProtection="0"/>
    <xf numFmtId="0" fontId="87" fillId="5" borderId="0" applyNumberFormat="0" applyBorder="0" applyAlignment="0" applyProtection="0"/>
    <xf numFmtId="0" fontId="1" fillId="6" borderId="0" applyNumberFormat="0" applyBorder="0" applyAlignment="0" applyProtection="0"/>
    <xf numFmtId="0" fontId="87" fillId="7" borderId="0" applyNumberFormat="0" applyBorder="0" applyAlignment="0" applyProtection="0"/>
    <xf numFmtId="0" fontId="1" fillId="8" borderId="0" applyNumberFormat="0" applyBorder="0" applyAlignment="0" applyProtection="0"/>
    <xf numFmtId="0" fontId="87" fillId="9" borderId="0" applyNumberFormat="0" applyBorder="0" applyAlignment="0" applyProtection="0"/>
    <xf numFmtId="0" fontId="1" fillId="10" borderId="0" applyNumberFormat="0" applyBorder="0" applyAlignment="0" applyProtection="0"/>
    <xf numFmtId="0" fontId="87" fillId="11" borderId="0" applyNumberFormat="0" applyBorder="0" applyAlignment="0" applyProtection="0"/>
    <xf numFmtId="0" fontId="1" fillId="12" borderId="0" applyNumberFormat="0" applyBorder="0" applyAlignment="0" applyProtection="0"/>
    <xf numFmtId="0" fontId="87" fillId="13" borderId="0" applyNumberFormat="0" applyBorder="0" applyAlignment="0" applyProtection="0"/>
    <xf numFmtId="0" fontId="1" fillId="14" borderId="0" applyNumberFormat="0" applyBorder="0" applyAlignment="0" applyProtection="0"/>
    <xf numFmtId="0" fontId="87" fillId="15" borderId="0" applyNumberFormat="0" applyBorder="0" applyAlignment="0" applyProtection="0"/>
    <xf numFmtId="0" fontId="1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8" borderId="0" applyNumberFormat="0" applyBorder="0" applyAlignment="0" applyProtection="0"/>
    <xf numFmtId="0" fontId="87" fillId="20" borderId="0" applyNumberFormat="0" applyBorder="0" applyAlignment="0" applyProtection="0"/>
    <xf numFmtId="0" fontId="1" fillId="14" borderId="0" applyNumberFormat="0" applyBorder="0" applyAlignment="0" applyProtection="0"/>
    <xf numFmtId="0" fontId="87" fillId="21" borderId="0" applyNumberFormat="0" applyBorder="0" applyAlignment="0" applyProtection="0"/>
    <xf numFmtId="0" fontId="1" fillId="22" borderId="0" applyNumberFormat="0" applyBorder="0" applyAlignment="0" applyProtection="0"/>
    <xf numFmtId="0" fontId="87" fillId="23" borderId="0" applyNumberFormat="0" applyBorder="0" applyAlignment="0" applyProtection="0"/>
    <xf numFmtId="0" fontId="2" fillId="24" borderId="0" applyNumberFormat="0" applyBorder="0" applyAlignment="0" applyProtection="0"/>
    <xf numFmtId="0" fontId="88" fillId="25" borderId="0" applyNumberFormat="0" applyBorder="0" applyAlignment="0" applyProtection="0"/>
    <xf numFmtId="0" fontId="2" fillId="16" borderId="0" applyNumberFormat="0" applyBorder="0" applyAlignment="0" applyProtection="0"/>
    <xf numFmtId="0" fontId="88" fillId="26" borderId="0" applyNumberFormat="0" applyBorder="0" applyAlignment="0" applyProtection="0"/>
    <xf numFmtId="0" fontId="2" fillId="18" borderId="0" applyNumberFormat="0" applyBorder="0" applyAlignment="0" applyProtection="0"/>
    <xf numFmtId="0" fontId="88" fillId="27" borderId="0" applyNumberFormat="0" applyBorder="0" applyAlignment="0" applyProtection="0"/>
    <xf numFmtId="0" fontId="2" fillId="28" borderId="0" applyNumberFormat="0" applyBorder="0" applyAlignment="0" applyProtection="0"/>
    <xf numFmtId="0" fontId="88" fillId="29" borderId="0" applyNumberFormat="0" applyBorder="0" applyAlignment="0" applyProtection="0"/>
    <xf numFmtId="0" fontId="2" fillId="30" borderId="0" applyNumberFormat="0" applyBorder="0" applyAlignment="0" applyProtection="0"/>
    <xf numFmtId="0" fontId="88" fillId="31" borderId="0" applyNumberFormat="0" applyBorder="0" applyAlignment="0" applyProtection="0"/>
    <xf numFmtId="0" fontId="2" fillId="32" borderId="0" applyNumberFormat="0" applyBorder="0" applyAlignment="0" applyProtection="0"/>
    <xf numFmtId="0" fontId="8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1" fontId="27" fillId="0" borderId="10" xfId="0" applyNumberFormat="1" applyFont="1" applyFill="1" applyBorder="1" applyAlignment="1" applyProtection="1">
      <alignment/>
      <protection hidden="1"/>
    </xf>
    <xf numFmtId="1" fontId="27" fillId="0" borderId="11" xfId="0" applyNumberFormat="1" applyFont="1" applyFill="1" applyBorder="1" applyAlignment="1" applyProtection="1">
      <alignment/>
      <protection locked="0"/>
    </xf>
    <xf numFmtId="1" fontId="27" fillId="0" borderId="12" xfId="0" applyNumberFormat="1" applyFont="1" applyFill="1" applyBorder="1" applyAlignment="1" applyProtection="1">
      <alignment/>
      <protection hidden="1"/>
    </xf>
    <xf numFmtId="1" fontId="27" fillId="0" borderId="13" xfId="0" applyNumberFormat="1" applyFont="1" applyFill="1" applyBorder="1" applyAlignment="1" applyProtection="1">
      <alignment/>
      <protection locked="0"/>
    </xf>
    <xf numFmtId="1" fontId="27" fillId="0" borderId="14" xfId="0" applyNumberFormat="1" applyFont="1" applyFill="1" applyBorder="1" applyAlignment="1" applyProtection="1">
      <alignment/>
      <protection hidden="1"/>
    </xf>
    <xf numFmtId="1" fontId="27" fillId="0" borderId="15" xfId="0" applyNumberFormat="1" applyFont="1" applyFill="1" applyBorder="1" applyAlignment="1" applyProtection="1">
      <alignment/>
      <protection hidden="1"/>
    </xf>
    <xf numFmtId="1" fontId="27" fillId="0" borderId="16" xfId="0" applyNumberFormat="1" applyFont="1" applyFill="1" applyBorder="1" applyAlignment="1" applyProtection="1">
      <alignment/>
      <protection locked="0"/>
    </xf>
    <xf numFmtId="1" fontId="27" fillId="0" borderId="17" xfId="0" applyNumberFormat="1" applyFont="1" applyFill="1" applyBorder="1" applyAlignment="1" applyProtection="1">
      <alignment/>
      <protection hidden="1"/>
    </xf>
    <xf numFmtId="1" fontId="32" fillId="0" borderId="18" xfId="0" applyNumberFormat="1" applyFont="1" applyFill="1" applyBorder="1" applyAlignment="1" applyProtection="1">
      <alignment/>
      <protection hidden="1"/>
    </xf>
    <xf numFmtId="1" fontId="32" fillId="0" borderId="19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 hidden="1"/>
    </xf>
    <xf numFmtId="0" fontId="30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4" fontId="30" fillId="0" borderId="0" xfId="0" applyNumberFormat="1" applyFont="1" applyAlignment="1" applyProtection="1">
      <alignment/>
      <protection hidden="1"/>
    </xf>
    <xf numFmtId="49" fontId="27" fillId="0" borderId="13" xfId="0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Fill="1" applyBorder="1" applyAlignment="1" applyProtection="1">
      <alignment horizontal="right"/>
      <protection locked="0"/>
    </xf>
    <xf numFmtId="49" fontId="0" fillId="0" borderId="20" xfId="0" applyNumberFormat="1" applyFont="1" applyFill="1" applyBorder="1" applyAlignment="1" applyProtection="1">
      <alignment horizontal="center"/>
      <protection/>
    </xf>
    <xf numFmtId="49" fontId="0" fillId="0" borderId="21" xfId="0" applyNumberFormat="1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/>
    </xf>
    <xf numFmtId="49" fontId="27" fillId="0" borderId="14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Alignment="1">
      <alignment wrapText="1"/>
    </xf>
    <xf numFmtId="0" fontId="27" fillId="0" borderId="0" xfId="0" applyFont="1" applyBorder="1" applyAlignment="1">
      <alignment/>
    </xf>
    <xf numFmtId="0" fontId="24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1" fontId="41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27" fillId="0" borderId="0" xfId="0" applyFont="1" applyFill="1" applyBorder="1" applyAlignment="1" applyProtection="1">
      <alignment vertical="top" wrapText="1"/>
      <protection/>
    </xf>
    <xf numFmtId="0" fontId="41" fillId="0" borderId="23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188" fontId="41" fillId="0" borderId="0" xfId="0" applyNumberFormat="1" applyFont="1" applyFill="1" applyAlignment="1">
      <alignment wrapText="1"/>
    </xf>
    <xf numFmtId="188" fontId="43" fillId="0" borderId="0" xfId="0" applyNumberFormat="1" applyFont="1" applyFill="1" applyAlignment="1">
      <alignment wrapText="1"/>
    </xf>
    <xf numFmtId="0" fontId="42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9" fillId="0" borderId="0" xfId="0" applyFont="1" applyAlignment="1">
      <alignment/>
    </xf>
    <xf numFmtId="0" fontId="29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wrapText="1"/>
    </xf>
    <xf numFmtId="1" fontId="21" fillId="0" borderId="0" xfId="0" applyNumberFormat="1" applyFont="1" applyFill="1" applyAlignment="1">
      <alignment wrapText="1"/>
    </xf>
    <xf numFmtId="1" fontId="20" fillId="0" borderId="24" xfId="0" applyNumberFormat="1" applyFont="1" applyFill="1" applyBorder="1" applyAlignment="1">
      <alignment wrapText="1"/>
    </xf>
    <xf numFmtId="1" fontId="21" fillId="0" borderId="0" xfId="0" applyNumberFormat="1" applyFont="1" applyFill="1" applyBorder="1" applyAlignment="1">
      <alignment wrapText="1"/>
    </xf>
    <xf numFmtId="1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Border="1" applyAlignment="1">
      <alignment wrapText="1"/>
    </xf>
    <xf numFmtId="0" fontId="26" fillId="0" borderId="0" xfId="0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49" fontId="31" fillId="0" borderId="13" xfId="0" applyNumberFormat="1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 applyProtection="1">
      <alignment horizontal="left" vertical="top" wrapText="1"/>
      <protection/>
    </xf>
    <xf numFmtId="0" fontId="25" fillId="0" borderId="26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>
      <alignment vertical="center" wrapText="1"/>
    </xf>
    <xf numFmtId="49" fontId="51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49" fontId="26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top" wrapText="1"/>
    </xf>
    <xf numFmtId="0" fontId="29" fillId="0" borderId="13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27" xfId="0" applyFont="1" applyFill="1" applyBorder="1" applyAlignment="1" applyProtection="1">
      <alignment horizontal="left" vertical="center" wrapText="1"/>
      <protection/>
    </xf>
    <xf numFmtId="0" fontId="25" fillId="0" borderId="25" xfId="0" applyFont="1" applyFill="1" applyBorder="1" applyAlignment="1" applyProtection="1">
      <alignment horizontal="left" vertical="center" wrapText="1"/>
      <protection/>
    </xf>
    <xf numFmtId="0" fontId="25" fillId="0" borderId="26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6" fillId="0" borderId="28" xfId="0" applyFont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/>
      <protection/>
    </xf>
    <xf numFmtId="0" fontId="27" fillId="0" borderId="30" xfId="0" applyFont="1" applyBorder="1" applyAlignment="1" applyProtection="1">
      <alignment/>
      <protection/>
    </xf>
    <xf numFmtId="0" fontId="55" fillId="0" borderId="3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/>
      <protection/>
    </xf>
    <xf numFmtId="0" fontId="27" fillId="0" borderId="32" xfId="0" applyFont="1" applyBorder="1" applyAlignment="1" applyProtection="1">
      <alignment horizontal="center"/>
      <protection/>
    </xf>
    <xf numFmtId="0" fontId="27" fillId="0" borderId="33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vertical="top"/>
      <protection/>
    </xf>
    <xf numFmtId="0" fontId="27" fillId="0" borderId="36" xfId="0" applyFont="1" applyBorder="1" applyAlignment="1" applyProtection="1">
      <alignment vertical="top"/>
      <protection/>
    </xf>
    <xf numFmtId="0" fontId="55" fillId="0" borderId="36" xfId="0" applyFont="1" applyBorder="1" applyAlignment="1" applyProtection="1">
      <alignment horizontal="center" vertical="top" wrapText="1"/>
      <protection/>
    </xf>
    <xf numFmtId="0" fontId="27" fillId="0" borderId="36" xfId="0" applyFont="1" applyBorder="1" applyAlignment="1" applyProtection="1">
      <alignment horizontal="center" vertical="top"/>
      <protection/>
    </xf>
    <xf numFmtId="0" fontId="27" fillId="0" borderId="37" xfId="0" applyFont="1" applyBorder="1" applyAlignment="1" applyProtection="1">
      <alignment horizontal="center" vertical="top"/>
      <protection/>
    </xf>
    <xf numFmtId="0" fontId="90" fillId="0" borderId="38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/>
    </xf>
    <xf numFmtId="49" fontId="33" fillId="0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Border="1" applyAlignment="1" applyProtection="1">
      <alignment horizontal="center"/>
      <protection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0" fontId="33" fillId="42" borderId="13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 applyProtection="1">
      <alignment/>
      <protection locked="0"/>
    </xf>
    <xf numFmtId="0" fontId="33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9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56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1" fillId="43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60" fillId="0" borderId="41" xfId="0" applyFont="1" applyFill="1" applyBorder="1" applyAlignment="1">
      <alignment horizontal="center" vertical="center" textRotation="90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1" fillId="0" borderId="13" xfId="0" applyFont="1" applyFill="1" applyBorder="1" applyAlignment="1">
      <alignment horizontal="center" vertical="center" textRotation="90" wrapText="1"/>
    </xf>
    <xf numFmtId="1" fontId="60" fillId="0" borderId="13" xfId="0" applyNumberFormat="1" applyFont="1" applyFill="1" applyBorder="1" applyAlignment="1">
      <alignment horizontal="center" vertical="center" textRotation="90" wrapText="1"/>
    </xf>
    <xf numFmtId="1" fontId="60" fillId="0" borderId="42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1" fontId="43" fillId="0" borderId="0" xfId="0" applyNumberFormat="1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wrapText="1"/>
    </xf>
    <xf numFmtId="1" fontId="29" fillId="0" borderId="0" xfId="0" applyNumberFormat="1" applyFont="1" applyFill="1" applyAlignment="1">
      <alignment wrapText="1"/>
    </xf>
    <xf numFmtId="0" fontId="91" fillId="0" borderId="0" xfId="0" applyFont="1" applyFill="1" applyAlignment="1">
      <alignment wrapText="1"/>
    </xf>
    <xf numFmtId="0" fontId="92" fillId="0" borderId="0" xfId="0" applyFont="1" applyFill="1" applyAlignment="1">
      <alignment wrapText="1"/>
    </xf>
    <xf numFmtId="1" fontId="91" fillId="0" borderId="0" xfId="0" applyNumberFormat="1" applyFont="1" applyFill="1" applyAlignment="1">
      <alignment wrapText="1"/>
    </xf>
    <xf numFmtId="0" fontId="91" fillId="0" borderId="0" xfId="0" applyFont="1" applyFill="1" applyBorder="1" applyAlignment="1">
      <alignment wrapText="1"/>
    </xf>
    <xf numFmtId="0" fontId="92" fillId="0" borderId="0" xfId="0" applyFont="1" applyFill="1" applyBorder="1" applyAlignment="1">
      <alignment wrapText="1"/>
    </xf>
    <xf numFmtId="1" fontId="91" fillId="0" borderId="0" xfId="0" applyNumberFormat="1" applyFont="1" applyFill="1" applyBorder="1" applyAlignment="1">
      <alignment wrapText="1"/>
    </xf>
    <xf numFmtId="1" fontId="91" fillId="44" borderId="0" xfId="0" applyNumberFormat="1" applyFont="1" applyFill="1" applyAlignment="1">
      <alignment wrapText="1"/>
    </xf>
    <xf numFmtId="188" fontId="71" fillId="0" borderId="0" xfId="0" applyNumberFormat="1" applyFont="1" applyFill="1" applyAlignment="1">
      <alignment horizontal="center" vertical="center" wrapText="1"/>
    </xf>
    <xf numFmtId="188" fontId="71" fillId="44" borderId="0" xfId="0" applyNumberFormat="1" applyFont="1" applyFill="1" applyAlignment="1">
      <alignment horizontal="center" vertical="center" wrapText="1"/>
    </xf>
    <xf numFmtId="49" fontId="73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Alignment="1">
      <alignment wrapText="1"/>
    </xf>
    <xf numFmtId="0" fontId="75" fillId="0" borderId="0" xfId="0" applyFont="1" applyFill="1" applyAlignment="1">
      <alignment wrapText="1"/>
    </xf>
    <xf numFmtId="1" fontId="74" fillId="0" borderId="0" xfId="0" applyNumberFormat="1" applyFont="1" applyFill="1" applyAlignment="1">
      <alignment wrapText="1"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wrapText="1"/>
    </xf>
    <xf numFmtId="1" fontId="74" fillId="0" borderId="0" xfId="0" applyNumberFormat="1" applyFont="1" applyFill="1" applyBorder="1" applyAlignment="1">
      <alignment wrapText="1"/>
    </xf>
    <xf numFmtId="1" fontId="73" fillId="0" borderId="0" xfId="0" applyNumberFormat="1" applyFont="1" applyFill="1" applyAlignment="1">
      <alignment wrapText="1"/>
    </xf>
    <xf numFmtId="1" fontId="60" fillId="0" borderId="0" xfId="0" applyNumberFormat="1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62" fillId="0" borderId="25" xfId="0" applyFont="1" applyFill="1" applyBorder="1" applyAlignment="1">
      <alignment vertical="center" wrapText="1"/>
    </xf>
    <xf numFmtId="1" fontId="63" fillId="0" borderId="41" xfId="0" applyNumberFormat="1" applyFont="1" applyFill="1" applyBorder="1" applyAlignment="1">
      <alignment horizontal="right" vertical="center" wrapText="1"/>
    </xf>
    <xf numFmtId="1" fontId="63" fillId="0" borderId="42" xfId="0" applyNumberFormat="1" applyFont="1" applyFill="1" applyBorder="1" applyAlignment="1">
      <alignment horizontal="right" vertical="center" wrapText="1"/>
    </xf>
    <xf numFmtId="1" fontId="25" fillId="0" borderId="41" xfId="0" applyNumberFormat="1" applyFont="1" applyFill="1" applyBorder="1" applyAlignment="1">
      <alignment horizontal="right" vertical="center" wrapText="1"/>
    </xf>
    <xf numFmtId="1" fontId="25" fillId="0" borderId="43" xfId="0" applyNumberFormat="1" applyFont="1" applyFill="1" applyBorder="1" applyAlignment="1">
      <alignment horizontal="right" vertical="center" wrapText="1"/>
    </xf>
    <xf numFmtId="1" fontId="25" fillId="0" borderId="44" xfId="0" applyNumberFormat="1" applyFont="1" applyFill="1" applyBorder="1" applyAlignment="1">
      <alignment horizontal="right" vertical="center" wrapText="1"/>
    </xf>
    <xf numFmtId="1" fontId="25" fillId="0" borderId="13" xfId="0" applyNumberFormat="1" applyFont="1" applyFill="1" applyBorder="1" applyAlignment="1">
      <alignment horizontal="right" vertical="center" wrapText="1"/>
    </xf>
    <xf numFmtId="1" fontId="59" fillId="0" borderId="45" xfId="0" applyNumberFormat="1" applyFont="1" applyFill="1" applyBorder="1" applyAlignment="1">
      <alignment horizontal="right" vertical="center" wrapText="1"/>
    </xf>
    <xf numFmtId="0" fontId="59" fillId="43" borderId="25" xfId="0" applyFont="1" applyFill="1" applyBorder="1" applyAlignment="1">
      <alignment horizontal="left" vertical="center" wrapText="1"/>
    </xf>
    <xf numFmtId="1" fontId="63" fillId="43" borderId="41" xfId="0" applyNumberFormat="1" applyFont="1" applyFill="1" applyBorder="1" applyAlignment="1">
      <alignment horizontal="right" vertical="center" wrapText="1"/>
    </xf>
    <xf numFmtId="1" fontId="63" fillId="43" borderId="42" xfId="0" applyNumberFormat="1" applyFont="1" applyFill="1" applyBorder="1" applyAlignment="1">
      <alignment horizontal="right" vertical="center" wrapText="1"/>
    </xf>
    <xf numFmtId="1" fontId="59" fillId="43" borderId="46" xfId="0" applyNumberFormat="1" applyFont="1" applyFill="1" applyBorder="1" applyAlignment="1">
      <alignment horizontal="right" vertical="center" wrapText="1"/>
    </xf>
    <xf numFmtId="1" fontId="59" fillId="43" borderId="42" xfId="0" applyNumberFormat="1" applyFont="1" applyFill="1" applyBorder="1" applyAlignment="1">
      <alignment horizontal="right" vertical="center" wrapText="1"/>
    </xf>
    <xf numFmtId="1" fontId="59" fillId="43" borderId="41" xfId="0" applyNumberFormat="1" applyFont="1" applyFill="1" applyBorder="1" applyAlignment="1">
      <alignment horizontal="right" vertical="center" wrapText="1"/>
    </xf>
    <xf numFmtId="1" fontId="59" fillId="43" borderId="13" xfId="0" applyNumberFormat="1" applyFont="1" applyFill="1" applyBorder="1" applyAlignment="1">
      <alignment horizontal="right" vertical="center" wrapText="1"/>
    </xf>
    <xf numFmtId="1" fontId="93" fillId="43" borderId="41" xfId="0" applyNumberFormat="1" applyFont="1" applyFill="1" applyBorder="1" applyAlignment="1">
      <alignment horizontal="right" vertical="center" wrapText="1"/>
    </xf>
    <xf numFmtId="1" fontId="93" fillId="43" borderId="13" xfId="0" applyNumberFormat="1" applyFont="1" applyFill="1" applyBorder="1" applyAlignment="1">
      <alignment horizontal="right" vertical="center" wrapText="1"/>
    </xf>
    <xf numFmtId="1" fontId="94" fillId="43" borderId="13" xfId="0" applyNumberFormat="1" applyFont="1" applyFill="1" applyBorder="1" applyAlignment="1">
      <alignment horizontal="right" vertical="center" wrapText="1"/>
    </xf>
    <xf numFmtId="1" fontId="93" fillId="43" borderId="42" xfId="0" applyNumberFormat="1" applyFont="1" applyFill="1" applyBorder="1" applyAlignment="1">
      <alignment horizontal="right" vertical="center" wrapText="1"/>
    </xf>
    <xf numFmtId="1" fontId="93" fillId="43" borderId="47" xfId="0" applyNumberFormat="1" applyFont="1" applyFill="1" applyBorder="1" applyAlignment="1">
      <alignment horizontal="right" vertical="center" wrapText="1"/>
    </xf>
    <xf numFmtId="1" fontId="65" fillId="43" borderId="47" xfId="0" applyNumberFormat="1" applyFont="1" applyFill="1" applyBorder="1" applyAlignment="1">
      <alignment horizontal="right" vertical="center" wrapText="1"/>
    </xf>
    <xf numFmtId="1" fontId="65" fillId="43" borderId="13" xfId="0" applyNumberFormat="1" applyFont="1" applyFill="1" applyBorder="1" applyAlignment="1">
      <alignment horizontal="right" vertical="center" wrapText="1"/>
    </xf>
    <xf numFmtId="1" fontId="65" fillId="43" borderId="42" xfId="0" applyNumberFormat="1" applyFont="1" applyFill="1" applyBorder="1" applyAlignment="1">
      <alignment horizontal="right" vertical="center" wrapText="1"/>
    </xf>
    <xf numFmtId="1" fontId="64" fillId="43" borderId="44" xfId="0" applyNumberFormat="1" applyFont="1" applyFill="1" applyBorder="1" applyAlignment="1">
      <alignment horizontal="right" vertical="center" wrapText="1"/>
    </xf>
    <xf numFmtId="1" fontId="59" fillId="43" borderId="45" xfId="0" applyNumberFormat="1" applyFont="1" applyFill="1" applyBorder="1" applyAlignment="1">
      <alignment horizontal="right" vertical="center" wrapText="1"/>
    </xf>
    <xf numFmtId="0" fontId="60" fillId="0" borderId="25" xfId="0" applyFont="1" applyFill="1" applyBorder="1" applyAlignment="1" applyProtection="1">
      <alignment horizontal="left" vertical="center" wrapText="1"/>
      <protection/>
    </xf>
    <xf numFmtId="1" fontId="60" fillId="0" borderId="41" xfId="0" applyNumberFormat="1" applyFont="1" applyFill="1" applyBorder="1" applyAlignment="1">
      <alignment horizontal="right" vertical="center" wrapText="1"/>
    </xf>
    <xf numFmtId="1" fontId="60" fillId="0" borderId="42" xfId="0" applyNumberFormat="1" applyFont="1" applyBorder="1" applyAlignment="1">
      <alignment horizontal="right" vertical="center" wrapText="1"/>
    </xf>
    <xf numFmtId="1" fontId="60" fillId="0" borderId="41" xfId="0" applyNumberFormat="1" applyFont="1" applyBorder="1" applyAlignment="1">
      <alignment horizontal="right" vertical="center" wrapText="1"/>
    </xf>
    <xf numFmtId="1" fontId="60" fillId="0" borderId="25" xfId="0" applyNumberFormat="1" applyFont="1" applyBorder="1" applyAlignment="1">
      <alignment horizontal="right" vertical="center" wrapText="1"/>
    </xf>
    <xf numFmtId="1" fontId="60" fillId="0" borderId="13" xfId="0" applyNumberFormat="1" applyFont="1" applyBorder="1" applyAlignment="1">
      <alignment horizontal="right" vertical="center" wrapText="1"/>
    </xf>
    <xf numFmtId="1" fontId="60" fillId="0" borderId="13" xfId="0" applyNumberFormat="1" applyFont="1" applyFill="1" applyBorder="1" applyAlignment="1">
      <alignment horizontal="right" vertical="center" wrapText="1"/>
    </xf>
    <xf numFmtId="1" fontId="60" fillId="0" borderId="25" xfId="0" applyNumberFormat="1" applyFont="1" applyFill="1" applyBorder="1" applyAlignment="1">
      <alignment horizontal="right" vertical="center" wrapText="1"/>
    </xf>
    <xf numFmtId="1" fontId="60" fillId="0" borderId="42" xfId="0" applyNumberFormat="1" applyFont="1" applyFill="1" applyBorder="1" applyAlignment="1">
      <alignment horizontal="right" vertical="center" wrapText="1"/>
    </xf>
    <xf numFmtId="1" fontId="63" fillId="0" borderId="47" xfId="0" applyNumberFormat="1" applyFont="1" applyFill="1" applyBorder="1" applyAlignment="1">
      <alignment horizontal="right" vertical="center" wrapText="1"/>
    </xf>
    <xf numFmtId="1" fontId="63" fillId="0" borderId="13" xfId="0" applyNumberFormat="1" applyFont="1" applyFill="1" applyBorder="1" applyAlignment="1">
      <alignment horizontal="right" vertical="center" wrapText="1"/>
    </xf>
    <xf numFmtId="1" fontId="60" fillId="0" borderId="45" xfId="0" applyNumberFormat="1" applyFont="1" applyFill="1" applyBorder="1" applyAlignment="1">
      <alignment horizontal="right"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3" fillId="0" borderId="46" xfId="0" applyNumberFormat="1" applyFont="1" applyFill="1" applyBorder="1" applyAlignment="1">
      <alignment horizontal="right" vertical="center" wrapText="1"/>
    </xf>
    <xf numFmtId="1" fontId="60" fillId="0" borderId="49" xfId="0" applyNumberFormat="1" applyFont="1" applyFill="1" applyBorder="1" applyAlignment="1">
      <alignment horizontal="right" vertical="center" wrapText="1"/>
    </xf>
    <xf numFmtId="1" fontId="60" fillId="0" borderId="46" xfId="0" applyNumberFormat="1" applyFont="1" applyBorder="1" applyAlignment="1">
      <alignment horizontal="right" vertical="center" wrapText="1"/>
    </xf>
    <xf numFmtId="1" fontId="60" fillId="0" borderId="26" xfId="0" applyNumberFormat="1" applyFont="1" applyBorder="1" applyAlignment="1">
      <alignment horizontal="right" vertical="center" wrapText="1"/>
    </xf>
    <xf numFmtId="1" fontId="60" fillId="0" borderId="11" xfId="0" applyNumberFormat="1" applyFont="1" applyBorder="1" applyAlignment="1">
      <alignment horizontal="right" vertical="center" wrapText="1"/>
    </xf>
    <xf numFmtId="1" fontId="60" fillId="0" borderId="49" xfId="0" applyNumberFormat="1" applyFont="1" applyBorder="1" applyAlignment="1">
      <alignment horizontal="right" vertical="center" wrapText="1"/>
    </xf>
    <xf numFmtId="1" fontId="60" fillId="0" borderId="11" xfId="0" applyNumberFormat="1" applyFont="1" applyFill="1" applyBorder="1" applyAlignment="1">
      <alignment horizontal="right" vertical="center" wrapText="1"/>
    </xf>
    <xf numFmtId="1" fontId="63" fillId="0" borderId="50" xfId="0" applyNumberFormat="1" applyFont="1" applyFill="1" applyBorder="1" applyAlignment="1">
      <alignment horizontal="right" vertical="center" wrapText="1"/>
    </xf>
    <xf numFmtId="1" fontId="63" fillId="0" borderId="11" xfId="0" applyNumberFormat="1" applyFont="1" applyFill="1" applyBorder="1" applyAlignment="1">
      <alignment horizontal="right" vertical="center" wrapText="1"/>
    </xf>
    <xf numFmtId="1" fontId="63" fillId="0" borderId="49" xfId="0" applyNumberFormat="1" applyFont="1" applyFill="1" applyBorder="1" applyAlignment="1">
      <alignment horizontal="right" vertical="center" wrapText="1"/>
    </xf>
    <xf numFmtId="1" fontId="60" fillId="43" borderId="45" xfId="0" applyNumberFormat="1" applyFont="1" applyFill="1" applyBorder="1" applyAlignment="1">
      <alignment horizontal="right" vertical="center" wrapText="1"/>
    </xf>
    <xf numFmtId="1" fontId="60" fillId="0" borderId="47" xfId="0" applyNumberFormat="1" applyFont="1" applyFill="1" applyBorder="1" applyAlignment="1">
      <alignment horizontal="right" vertical="center" wrapText="1"/>
    </xf>
    <xf numFmtId="1" fontId="61" fillId="0" borderId="13" xfId="0" applyNumberFormat="1" applyFont="1" applyFill="1" applyBorder="1" applyAlignment="1">
      <alignment horizontal="right" vertical="center" wrapText="1"/>
    </xf>
    <xf numFmtId="1" fontId="67" fillId="0" borderId="13" xfId="0" applyNumberFormat="1" applyFont="1" applyFill="1" applyBorder="1" applyAlignment="1">
      <alignment horizontal="right" vertical="center" wrapText="1"/>
    </xf>
    <xf numFmtId="0" fontId="60" fillId="0" borderId="13" xfId="0" applyFont="1" applyFill="1" applyBorder="1" applyAlignment="1">
      <alignment horizontal="right" vertical="center" wrapText="1"/>
    </xf>
    <xf numFmtId="0" fontId="60" fillId="0" borderId="41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right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1" fillId="0" borderId="13" xfId="0" applyFont="1" applyFill="1" applyBorder="1" applyAlignment="1">
      <alignment horizontal="right" vertical="center" wrapText="1"/>
    </xf>
    <xf numFmtId="0" fontId="60" fillId="0" borderId="47" xfId="0" applyFont="1" applyFill="1" applyBorder="1" applyAlignment="1">
      <alignment horizontal="right" vertical="center" wrapText="1"/>
    </xf>
    <xf numFmtId="0" fontId="59" fillId="43" borderId="27" xfId="0" applyFont="1" applyFill="1" applyBorder="1" applyAlignment="1" applyProtection="1">
      <alignment horizontal="left" vertical="center" wrapText="1"/>
      <protection/>
    </xf>
    <xf numFmtId="1" fontId="60" fillId="43" borderId="51" xfId="0" applyNumberFormat="1" applyFont="1" applyFill="1" applyBorder="1" applyAlignment="1">
      <alignment horizontal="right" vertical="center" wrapText="1"/>
    </xf>
    <xf numFmtId="1" fontId="60" fillId="43" borderId="52" xfId="0" applyNumberFormat="1" applyFont="1" applyFill="1" applyBorder="1" applyAlignment="1">
      <alignment horizontal="right" vertical="center" wrapText="1"/>
    </xf>
    <xf numFmtId="1" fontId="60" fillId="43" borderId="27" xfId="0" applyNumberFormat="1" applyFont="1" applyFill="1" applyBorder="1" applyAlignment="1">
      <alignment horizontal="right" vertical="center" wrapText="1"/>
    </xf>
    <xf numFmtId="1" fontId="60" fillId="43" borderId="30" xfId="0" applyNumberFormat="1" applyFont="1" applyFill="1" applyBorder="1" applyAlignment="1">
      <alignment horizontal="right" vertical="center" wrapText="1"/>
    </xf>
    <xf numFmtId="1" fontId="61" fillId="43" borderId="30" xfId="0" applyNumberFormat="1" applyFont="1" applyFill="1" applyBorder="1" applyAlignment="1">
      <alignment horizontal="right" vertical="center" wrapText="1"/>
    </xf>
    <xf numFmtId="1" fontId="60" fillId="43" borderId="53" xfId="0" applyNumberFormat="1" applyFont="1" applyFill="1" applyBorder="1" applyAlignment="1">
      <alignment horizontal="right" vertical="center" wrapText="1"/>
    </xf>
    <xf numFmtId="1" fontId="60" fillId="43" borderId="54" xfId="0" applyNumberFormat="1" applyFont="1" applyFill="1" applyBorder="1" applyAlignment="1">
      <alignment vertical="center" wrapText="1"/>
    </xf>
    <xf numFmtId="0" fontId="60" fillId="0" borderId="27" xfId="0" applyFont="1" applyFill="1" applyBorder="1" applyAlignment="1" applyProtection="1">
      <alignment horizontal="left" vertical="center" wrapText="1"/>
      <protection/>
    </xf>
    <xf numFmtId="1" fontId="60" fillId="0" borderId="51" xfId="0" applyNumberFormat="1" applyFont="1" applyFill="1" applyBorder="1" applyAlignment="1">
      <alignment horizontal="right" vertical="center" wrapText="1"/>
    </xf>
    <xf numFmtId="1" fontId="60" fillId="0" borderId="52" xfId="0" applyNumberFormat="1" applyFont="1" applyFill="1" applyBorder="1" applyAlignment="1">
      <alignment horizontal="right" vertical="center" wrapText="1"/>
    </xf>
    <xf numFmtId="1" fontId="60" fillId="0" borderId="27" xfId="0" applyNumberFormat="1" applyFont="1" applyFill="1" applyBorder="1" applyAlignment="1">
      <alignment horizontal="right" vertical="center" wrapText="1"/>
    </xf>
    <xf numFmtId="1" fontId="60" fillId="0" borderId="30" xfId="0" applyNumberFormat="1" applyFont="1" applyFill="1" applyBorder="1" applyAlignment="1">
      <alignment horizontal="right" vertical="center" wrapText="1"/>
    </xf>
    <xf numFmtId="1" fontId="61" fillId="0" borderId="30" xfId="0" applyNumberFormat="1" applyFont="1" applyFill="1" applyBorder="1" applyAlignment="1">
      <alignment horizontal="right" vertical="center" wrapText="1"/>
    </xf>
    <xf numFmtId="1" fontId="60" fillId="0" borderId="53" xfId="0" applyNumberFormat="1" applyFont="1" applyFill="1" applyBorder="1" applyAlignment="1">
      <alignment horizontal="right" vertical="center" wrapText="1"/>
    </xf>
    <xf numFmtId="1" fontId="63" fillId="0" borderId="53" xfId="0" applyNumberFormat="1" applyFont="1" applyFill="1" applyBorder="1" applyAlignment="1">
      <alignment horizontal="right" vertical="center" wrapText="1"/>
    </xf>
    <xf numFmtId="1" fontId="63" fillId="0" borderId="30" xfId="0" applyNumberFormat="1" applyFont="1" applyFill="1" applyBorder="1" applyAlignment="1">
      <alignment horizontal="right" vertical="center" wrapText="1"/>
    </xf>
    <xf numFmtId="1" fontId="67" fillId="0" borderId="30" xfId="0" applyNumberFormat="1" applyFont="1" applyFill="1" applyBorder="1" applyAlignment="1">
      <alignment horizontal="right" vertical="center" wrapText="1"/>
    </xf>
    <xf numFmtId="1" fontId="63" fillId="0" borderId="52" xfId="0" applyNumberFormat="1" applyFont="1" applyFill="1" applyBorder="1" applyAlignment="1">
      <alignment horizontal="right" vertical="center" wrapText="1"/>
    </xf>
    <xf numFmtId="1" fontId="60" fillId="43" borderId="41" xfId="0" applyNumberFormat="1" applyFont="1" applyFill="1" applyBorder="1" applyAlignment="1">
      <alignment horizontal="right" vertical="center" wrapText="1"/>
    </xf>
    <xf numFmtId="0" fontId="63" fillId="43" borderId="42" xfId="0" applyFont="1" applyFill="1" applyBorder="1" applyAlignment="1">
      <alignment horizontal="right" vertical="center" wrapText="1"/>
    </xf>
    <xf numFmtId="0" fontId="59" fillId="43" borderId="41" xfId="0" applyFont="1" applyFill="1" applyBorder="1" applyAlignment="1">
      <alignment horizontal="right" vertical="center" wrapText="1"/>
    </xf>
    <xf numFmtId="0" fontId="59" fillId="43" borderId="13" xfId="0" applyFont="1" applyFill="1" applyBorder="1" applyAlignment="1">
      <alignment horizontal="right" vertical="center" wrapText="1"/>
    </xf>
    <xf numFmtId="0" fontId="93" fillId="43" borderId="41" xfId="0" applyFont="1" applyFill="1" applyBorder="1" applyAlignment="1">
      <alignment horizontal="right" vertical="center" wrapText="1"/>
    </xf>
    <xf numFmtId="0" fontId="93" fillId="43" borderId="13" xfId="0" applyFont="1" applyFill="1" applyBorder="1" applyAlignment="1">
      <alignment horizontal="right" vertical="center" wrapText="1"/>
    </xf>
    <xf numFmtId="0" fontId="94" fillId="43" borderId="13" xfId="0" applyFont="1" applyFill="1" applyBorder="1" applyAlignment="1">
      <alignment horizontal="right" vertical="center" wrapText="1"/>
    </xf>
    <xf numFmtId="0" fontId="93" fillId="43" borderId="47" xfId="0" applyFont="1" applyFill="1" applyBorder="1" applyAlignment="1">
      <alignment horizontal="right" vertical="center" wrapText="1"/>
    </xf>
    <xf numFmtId="0" fontId="65" fillId="43" borderId="47" xfId="0" applyFont="1" applyFill="1" applyBorder="1" applyAlignment="1">
      <alignment horizontal="right" vertical="center" wrapText="1"/>
    </xf>
    <xf numFmtId="0" fontId="65" fillId="43" borderId="13" xfId="0" applyFont="1" applyFill="1" applyBorder="1" applyAlignment="1">
      <alignment horizontal="right" vertical="center" wrapText="1"/>
    </xf>
    <xf numFmtId="188" fontId="59" fillId="43" borderId="45" xfId="0" applyNumberFormat="1" applyFont="1" applyFill="1" applyBorder="1" applyAlignment="1">
      <alignment horizontal="right" vertical="center" wrapText="1"/>
    </xf>
    <xf numFmtId="0" fontId="63" fillId="0" borderId="47" xfId="0" applyFont="1" applyFill="1" applyBorder="1" applyAlignment="1">
      <alignment horizontal="right" vertical="center" wrapText="1"/>
    </xf>
    <xf numFmtId="0" fontId="63" fillId="0" borderId="13" xfId="0" applyFont="1" applyFill="1" applyBorder="1" applyAlignment="1">
      <alignment horizontal="right" vertical="center" wrapText="1"/>
    </xf>
    <xf numFmtId="0" fontId="67" fillId="0" borderId="13" xfId="0" applyFont="1" applyFill="1" applyBorder="1" applyAlignment="1">
      <alignment horizontal="right" vertical="center" wrapText="1"/>
    </xf>
    <xf numFmtId="0" fontId="59" fillId="43" borderId="25" xfId="0" applyFont="1" applyFill="1" applyBorder="1" applyAlignment="1" applyProtection="1">
      <alignment horizontal="left" vertical="center" wrapText="1"/>
      <protection/>
    </xf>
    <xf numFmtId="0" fontId="60" fillId="43" borderId="42" xfId="0" applyFont="1" applyFill="1" applyBorder="1" applyAlignment="1">
      <alignment horizontal="right" vertical="center" wrapText="1"/>
    </xf>
    <xf numFmtId="0" fontId="60" fillId="43" borderId="25" xfId="0" applyFont="1" applyFill="1" applyBorder="1" applyAlignment="1">
      <alignment horizontal="right" vertical="center" wrapText="1"/>
    </xf>
    <xf numFmtId="0" fontId="60" fillId="43" borderId="41" xfId="0" applyFont="1" applyFill="1" applyBorder="1" applyAlignment="1">
      <alignment horizontal="right" vertical="center" wrapText="1"/>
    </xf>
    <xf numFmtId="0" fontId="60" fillId="43" borderId="13" xfId="0" applyFont="1" applyFill="1" applyBorder="1" applyAlignment="1">
      <alignment horizontal="right" vertical="center" wrapText="1"/>
    </xf>
    <xf numFmtId="0" fontId="60" fillId="43" borderId="47" xfId="0" applyFont="1" applyFill="1" applyBorder="1" applyAlignment="1">
      <alignment horizontal="right" vertical="center" wrapText="1"/>
    </xf>
    <xf numFmtId="0" fontId="61" fillId="43" borderId="13" xfId="0" applyFont="1" applyFill="1" applyBorder="1" applyAlignment="1">
      <alignment horizontal="right" vertical="center" wrapText="1"/>
    </xf>
    <xf numFmtId="1" fontId="60" fillId="43" borderId="13" xfId="0" applyNumberFormat="1" applyFont="1" applyFill="1" applyBorder="1" applyAlignment="1">
      <alignment horizontal="right" vertical="center" wrapText="1"/>
    </xf>
    <xf numFmtId="1" fontId="60" fillId="43" borderId="47" xfId="0" applyNumberFormat="1" applyFont="1" applyFill="1" applyBorder="1" applyAlignment="1">
      <alignment horizontal="right" vertical="center" wrapText="1"/>
    </xf>
    <xf numFmtId="1" fontId="61" fillId="43" borderId="13" xfId="0" applyNumberFormat="1" applyFont="1" applyFill="1" applyBorder="1" applyAlignment="1">
      <alignment horizontal="right" vertical="center" wrapText="1"/>
    </xf>
    <xf numFmtId="1" fontId="60" fillId="43" borderId="42" xfId="0" applyNumberFormat="1" applyFont="1" applyFill="1" applyBorder="1" applyAlignment="1">
      <alignment horizontal="right" vertical="center" wrapText="1"/>
    </xf>
    <xf numFmtId="1" fontId="60" fillId="43" borderId="45" xfId="0" applyNumberFormat="1" applyFont="1" applyFill="1" applyBorder="1" applyAlignment="1">
      <alignment vertical="center" wrapText="1"/>
    </xf>
    <xf numFmtId="1" fontId="60" fillId="43" borderId="11" xfId="0" applyNumberFormat="1" applyFont="1" applyFill="1" applyBorder="1" applyAlignment="1">
      <alignment horizontal="right" vertical="center" wrapText="1"/>
    </xf>
    <xf numFmtId="0" fontId="60" fillId="43" borderId="48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vertical="center" wrapText="1"/>
    </xf>
    <xf numFmtId="188" fontId="60" fillId="43" borderId="45" xfId="0" applyNumberFormat="1" applyFont="1" applyFill="1" applyBorder="1" applyAlignment="1">
      <alignment vertical="center" wrapText="1"/>
    </xf>
    <xf numFmtId="1" fontId="59" fillId="43" borderId="44" xfId="0" applyNumberFormat="1" applyFont="1" applyFill="1" applyBorder="1" applyAlignment="1">
      <alignment horizontal="right" vertical="center" wrapText="1"/>
    </xf>
    <xf numFmtId="1" fontId="64" fillId="43" borderId="13" xfId="0" applyNumberFormat="1" applyFont="1" applyFill="1" applyBorder="1" applyAlignment="1">
      <alignment horizontal="right" vertical="center" wrapText="1"/>
    </xf>
    <xf numFmtId="1" fontId="64" fillId="43" borderId="42" xfId="0" applyNumberFormat="1" applyFont="1" applyFill="1" applyBorder="1" applyAlignment="1">
      <alignment horizontal="right" vertical="center" wrapText="1"/>
    </xf>
    <xf numFmtId="1" fontId="64" fillId="43" borderId="43" xfId="0" applyNumberFormat="1" applyFont="1" applyFill="1" applyBorder="1" applyAlignment="1">
      <alignment horizontal="right" vertical="center" wrapText="1"/>
    </xf>
    <xf numFmtId="1" fontId="64" fillId="43" borderId="47" xfId="0" applyNumberFormat="1" applyFont="1" applyFill="1" applyBorder="1" applyAlignment="1">
      <alignment horizontal="right" vertical="center" wrapText="1"/>
    </xf>
    <xf numFmtId="1" fontId="60" fillId="43" borderId="25" xfId="0" applyNumberFormat="1" applyFont="1" applyFill="1" applyBorder="1" applyAlignment="1">
      <alignment horizontal="right" vertical="center" wrapText="1"/>
    </xf>
    <xf numFmtId="0" fontId="62" fillId="43" borderId="26" xfId="0" applyFont="1" applyFill="1" applyBorder="1" applyAlignment="1" applyProtection="1">
      <alignment horizontal="left" vertical="center" wrapText="1"/>
      <protection/>
    </xf>
    <xf numFmtId="1" fontId="25" fillId="43" borderId="13" xfId="0" applyNumberFormat="1" applyFont="1" applyFill="1" applyBorder="1" applyAlignment="1">
      <alignment horizontal="right" vertical="center" wrapText="1"/>
    </xf>
    <xf numFmtId="1" fontId="25" fillId="43" borderId="42" xfId="0" applyNumberFormat="1" applyFont="1" applyFill="1" applyBorder="1" applyAlignment="1">
      <alignment horizontal="right" vertical="center" wrapText="1"/>
    </xf>
    <xf numFmtId="1" fontId="25" fillId="43" borderId="47" xfId="0" applyNumberFormat="1" applyFont="1" applyFill="1" applyBorder="1" applyAlignment="1">
      <alignment horizontal="right" vertical="center" wrapText="1"/>
    </xf>
    <xf numFmtId="1" fontId="25" fillId="43" borderId="25" xfId="0" applyNumberFormat="1" applyFont="1" applyFill="1" applyBorder="1" applyAlignment="1">
      <alignment horizontal="right" vertical="center" wrapText="1"/>
    </xf>
    <xf numFmtId="1" fontId="25" fillId="43" borderId="41" xfId="0" applyNumberFormat="1" applyFont="1" applyFill="1" applyBorder="1" applyAlignment="1">
      <alignment horizontal="right" vertical="center" wrapText="1"/>
    </xf>
    <xf numFmtId="1" fontId="25" fillId="43" borderId="45" xfId="0" applyNumberFormat="1" applyFont="1" applyFill="1" applyBorder="1" applyAlignment="1">
      <alignment horizontal="right" vertical="center" wrapText="1"/>
    </xf>
    <xf numFmtId="1" fontId="59" fillId="43" borderId="55" xfId="0" applyNumberFormat="1" applyFont="1" applyFill="1" applyBorder="1" applyAlignment="1">
      <alignment horizontal="right" vertical="center" wrapText="1"/>
    </xf>
    <xf numFmtId="0" fontId="93" fillId="43" borderId="11" xfId="0" applyFont="1" applyFill="1" applyBorder="1" applyAlignment="1">
      <alignment horizontal="right" vertical="center" wrapText="1"/>
    </xf>
    <xf numFmtId="0" fontId="65" fillId="43" borderId="50" xfId="0" applyFont="1" applyFill="1" applyBorder="1" applyAlignment="1">
      <alignment horizontal="right" vertical="center" wrapText="1"/>
    </xf>
    <xf numFmtId="0" fontId="65" fillId="43" borderId="11" xfId="0" applyFont="1" applyFill="1" applyBorder="1" applyAlignment="1">
      <alignment horizontal="right" vertical="center" wrapText="1"/>
    </xf>
    <xf numFmtId="1" fontId="65" fillId="43" borderId="11" xfId="0" applyNumberFormat="1" applyFont="1" applyFill="1" applyBorder="1" applyAlignment="1">
      <alignment horizontal="right" vertical="center" wrapText="1"/>
    </xf>
    <xf numFmtId="1" fontId="65" fillId="43" borderId="49" xfId="0" applyNumberFormat="1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 wrapText="1"/>
    </xf>
    <xf numFmtId="0" fontId="60" fillId="0" borderId="41" xfId="0" applyFont="1" applyBorder="1" applyAlignment="1">
      <alignment horizontal="right" vertical="center" wrapText="1"/>
    </xf>
    <xf numFmtId="1" fontId="63" fillId="0" borderId="25" xfId="0" applyNumberFormat="1" applyFont="1" applyFill="1" applyBorder="1" applyAlignment="1">
      <alignment horizontal="right" vertical="center" wrapText="1"/>
    </xf>
    <xf numFmtId="1" fontId="59" fillId="43" borderId="25" xfId="0" applyNumberFormat="1" applyFont="1" applyFill="1" applyBorder="1" applyAlignment="1">
      <alignment horizontal="right" vertical="center" wrapText="1"/>
    </xf>
    <xf numFmtId="0" fontId="60" fillId="0" borderId="13" xfId="0" applyFont="1" applyFill="1" applyBorder="1" applyAlignment="1" applyProtection="1">
      <alignment horizontal="left" vertical="center" wrapText="1"/>
      <protection/>
    </xf>
    <xf numFmtId="1" fontId="61" fillId="0" borderId="25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 horizontal="right" vertical="center" wrapText="1"/>
    </xf>
    <xf numFmtId="0" fontId="61" fillId="44" borderId="13" xfId="0" applyFont="1" applyFill="1" applyBorder="1" applyAlignment="1">
      <alignment horizontal="right" vertical="center" wrapText="1"/>
    </xf>
    <xf numFmtId="0" fontId="60" fillId="0" borderId="48" xfId="0" applyFont="1" applyBorder="1" applyAlignment="1">
      <alignment horizontal="center" vertical="center" wrapText="1"/>
    </xf>
    <xf numFmtId="1" fontId="60" fillId="43" borderId="43" xfId="0" applyNumberFormat="1" applyFont="1" applyFill="1" applyBorder="1" applyAlignment="1">
      <alignment horizontal="right" vertical="center" wrapText="1"/>
    </xf>
    <xf numFmtId="1" fontId="60" fillId="43" borderId="54" xfId="0" applyNumberFormat="1" applyFont="1" applyFill="1" applyBorder="1" applyAlignment="1">
      <alignment horizontal="right" vertical="center" wrapText="1"/>
    </xf>
    <xf numFmtId="1" fontId="60" fillId="43" borderId="45" xfId="0" applyNumberFormat="1" applyFont="1" applyFill="1" applyBorder="1" applyAlignment="1">
      <alignment horizontal="center" vertical="center" wrapText="1"/>
    </xf>
    <xf numFmtId="1" fontId="60" fillId="0" borderId="55" xfId="0" applyNumberFormat="1" applyFont="1" applyFill="1" applyBorder="1" applyAlignment="1">
      <alignment horizontal="right" vertical="center" wrapText="1"/>
    </xf>
    <xf numFmtId="0" fontId="60" fillId="0" borderId="26" xfId="0" applyFont="1" applyFill="1" applyBorder="1" applyAlignment="1" applyProtection="1">
      <alignment horizontal="left" vertical="center" wrapText="1"/>
      <protection/>
    </xf>
    <xf numFmtId="1" fontId="95" fillId="0" borderId="41" xfId="0" applyNumberFormat="1" applyFont="1" applyFill="1" applyBorder="1" applyAlignment="1">
      <alignment horizontal="right" vertical="center" wrapText="1"/>
    </xf>
    <xf numFmtId="1" fontId="60" fillId="0" borderId="56" xfId="0" applyNumberFormat="1" applyFont="1" applyFill="1" applyBorder="1" applyAlignment="1">
      <alignment horizontal="right" vertical="center" wrapText="1"/>
    </xf>
    <xf numFmtId="1" fontId="61" fillId="0" borderId="11" xfId="0" applyNumberFormat="1" applyFont="1" applyFill="1" applyBorder="1" applyAlignment="1">
      <alignment horizontal="right" vertical="center" wrapText="1"/>
    </xf>
    <xf numFmtId="1" fontId="60" fillId="0" borderId="50" xfId="0" applyNumberFormat="1" applyFont="1" applyFill="1" applyBorder="1" applyAlignment="1">
      <alignment horizontal="right" vertical="center" wrapText="1"/>
    </xf>
    <xf numFmtId="0" fontId="59" fillId="43" borderId="26" xfId="0" applyFont="1" applyFill="1" applyBorder="1" applyAlignment="1" applyProtection="1">
      <alignment horizontal="left" vertical="center" wrapText="1"/>
      <protection/>
    </xf>
    <xf numFmtId="0" fontId="60" fillId="43" borderId="49" xfId="0" applyFont="1" applyFill="1" applyBorder="1" applyAlignment="1">
      <alignment horizontal="right" vertical="center" wrapText="1"/>
    </xf>
    <xf numFmtId="0" fontId="60" fillId="43" borderId="46" xfId="0" applyFont="1" applyFill="1" applyBorder="1" applyAlignment="1">
      <alignment horizontal="right" vertical="center" wrapText="1"/>
    </xf>
    <xf numFmtId="0" fontId="60" fillId="43" borderId="11" xfId="0" applyFont="1" applyFill="1" applyBorder="1" applyAlignment="1">
      <alignment horizontal="right" vertical="center" wrapText="1"/>
    </xf>
    <xf numFmtId="1" fontId="66" fillId="43" borderId="42" xfId="0" applyNumberFormat="1" applyFont="1" applyFill="1" applyBorder="1" applyAlignment="1">
      <alignment horizontal="right" vertical="center" wrapText="1"/>
    </xf>
    <xf numFmtId="1" fontId="60" fillId="43" borderId="49" xfId="0" applyNumberFormat="1" applyFont="1" applyFill="1" applyBorder="1" applyAlignment="1">
      <alignment horizontal="right" vertical="center" wrapText="1"/>
    </xf>
    <xf numFmtId="0" fontId="60" fillId="43" borderId="50" xfId="0" applyFont="1" applyFill="1" applyBorder="1" applyAlignment="1">
      <alignment horizontal="right" vertical="center" wrapText="1"/>
    </xf>
    <xf numFmtId="1" fontId="60" fillId="43" borderId="44" xfId="0" applyNumberFormat="1" applyFont="1" applyFill="1" applyBorder="1" applyAlignment="1">
      <alignment horizontal="right" vertical="center" wrapText="1"/>
    </xf>
    <xf numFmtId="0" fontId="60" fillId="43" borderId="57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right" vertical="center" wrapText="1"/>
    </xf>
    <xf numFmtId="0" fontId="60" fillId="0" borderId="46" xfId="0" applyFont="1" applyFill="1" applyBorder="1" applyAlignment="1">
      <alignment horizontal="right" vertical="center" wrapText="1"/>
    </xf>
    <xf numFmtId="1" fontId="66" fillId="0" borderId="42" xfId="0" applyNumberFormat="1" applyFont="1" applyFill="1" applyBorder="1" applyAlignment="1">
      <alignment horizontal="right" vertical="center" wrapText="1"/>
    </xf>
    <xf numFmtId="0" fontId="60" fillId="0" borderId="50" xfId="0" applyFont="1" applyFill="1" applyBorder="1" applyAlignment="1">
      <alignment horizontal="right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right" vertical="center" wrapText="1"/>
    </xf>
    <xf numFmtId="0" fontId="59" fillId="43" borderId="42" xfId="0" applyFont="1" applyFill="1" applyBorder="1" applyAlignment="1" applyProtection="1">
      <alignment horizontal="left" vertical="center" wrapText="1"/>
      <protection/>
    </xf>
    <xf numFmtId="0" fontId="59" fillId="43" borderId="42" xfId="0" applyFont="1" applyFill="1" applyBorder="1" applyAlignment="1">
      <alignment horizontal="right" vertical="center" wrapText="1"/>
    </xf>
    <xf numFmtId="0" fontId="60" fillId="43" borderId="58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 applyProtection="1">
      <alignment horizontal="left" vertical="center" wrapText="1"/>
      <protection/>
    </xf>
    <xf numFmtId="0" fontId="59" fillId="43" borderId="59" xfId="0" applyFont="1" applyFill="1" applyBorder="1" applyAlignment="1">
      <alignment horizontal="left" vertical="center" wrapText="1"/>
    </xf>
    <xf numFmtId="1" fontId="60" fillId="43" borderId="60" xfId="0" applyNumberFormat="1" applyFont="1" applyFill="1" applyBorder="1" applyAlignment="1">
      <alignment horizontal="right" vertical="center" wrapText="1"/>
    </xf>
    <xf numFmtId="0" fontId="60" fillId="43" borderId="61" xfId="0" applyFont="1" applyFill="1" applyBorder="1" applyAlignment="1">
      <alignment horizontal="right" vertical="center" wrapText="1"/>
    </xf>
    <xf numFmtId="0" fontId="59" fillId="43" borderId="60" xfId="0" applyFont="1" applyFill="1" applyBorder="1" applyAlignment="1">
      <alignment horizontal="right" vertical="center" wrapText="1"/>
    </xf>
    <xf numFmtId="1" fontId="59" fillId="43" borderId="61" xfId="0" applyNumberFormat="1" applyFont="1" applyFill="1" applyBorder="1" applyAlignment="1">
      <alignment horizontal="right" vertical="center" wrapText="1"/>
    </xf>
    <xf numFmtId="0" fontId="59" fillId="43" borderId="62" xfId="0" applyFont="1" applyFill="1" applyBorder="1" applyAlignment="1">
      <alignment horizontal="right" vertical="center" wrapText="1"/>
    </xf>
    <xf numFmtId="1" fontId="59" fillId="43" borderId="62" xfId="0" applyNumberFormat="1" applyFont="1" applyFill="1" applyBorder="1" applyAlignment="1">
      <alignment horizontal="right" vertical="center" wrapText="1"/>
    </xf>
    <xf numFmtId="0" fontId="59" fillId="43" borderId="63" xfId="0" applyFont="1" applyFill="1" applyBorder="1" applyAlignment="1">
      <alignment horizontal="right" vertical="center" wrapText="1"/>
    </xf>
    <xf numFmtId="0" fontId="59" fillId="43" borderId="59" xfId="0" applyFont="1" applyFill="1" applyBorder="1" applyAlignment="1">
      <alignment horizontal="right" vertical="center" wrapText="1"/>
    </xf>
    <xf numFmtId="0" fontId="59" fillId="43" borderId="64" xfId="0" applyFont="1" applyFill="1" applyBorder="1" applyAlignment="1">
      <alignment horizontal="right" vertical="center" wrapText="1"/>
    </xf>
    <xf numFmtId="49" fontId="60" fillId="0" borderId="13" xfId="0" applyNumberFormat="1" applyFont="1" applyFill="1" applyBorder="1" applyAlignment="1">
      <alignment horizontal="right" vertical="center" wrapText="1"/>
    </xf>
    <xf numFmtId="1" fontId="64" fillId="0" borderId="42" xfId="0" applyNumberFormat="1" applyFont="1" applyFill="1" applyBorder="1" applyAlignment="1">
      <alignment horizontal="right" vertical="center" wrapText="1"/>
    </xf>
    <xf numFmtId="0" fontId="60" fillId="0" borderId="26" xfId="0" applyFont="1" applyFill="1" applyBorder="1" applyAlignment="1">
      <alignment vertical="center" wrapText="1"/>
    </xf>
    <xf numFmtId="1" fontId="60" fillId="0" borderId="46" xfId="0" applyNumberFormat="1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right" vertical="center" wrapText="1"/>
    </xf>
    <xf numFmtId="0" fontId="60" fillId="0" borderId="65" xfId="0" applyFont="1" applyFill="1" applyBorder="1" applyAlignment="1">
      <alignment vertical="center" wrapText="1"/>
    </xf>
    <xf numFmtId="0" fontId="60" fillId="0" borderId="66" xfId="0" applyFont="1" applyFill="1" applyBorder="1" applyAlignment="1">
      <alignment horizontal="right" vertical="center" wrapText="1"/>
    </xf>
    <xf numFmtId="0" fontId="60" fillId="0" borderId="67" xfId="0" applyFont="1" applyFill="1" applyBorder="1" applyAlignment="1">
      <alignment horizontal="right" vertical="center" wrapText="1"/>
    </xf>
    <xf numFmtId="0" fontId="60" fillId="0" borderId="68" xfId="0" applyFont="1" applyFill="1" applyBorder="1" applyAlignment="1">
      <alignment horizontal="right" vertical="center" wrapText="1"/>
    </xf>
    <xf numFmtId="0" fontId="60" fillId="0" borderId="69" xfId="0" applyFont="1" applyFill="1" applyBorder="1" applyAlignment="1">
      <alignment horizontal="right" vertical="center" wrapText="1"/>
    </xf>
    <xf numFmtId="0" fontId="60" fillId="0" borderId="70" xfId="0" applyFont="1" applyFill="1" applyBorder="1" applyAlignment="1">
      <alignment horizontal="right" vertical="center" wrapText="1"/>
    </xf>
    <xf numFmtId="0" fontId="59" fillId="0" borderId="68" xfId="0" applyFont="1" applyFill="1" applyBorder="1" applyAlignment="1">
      <alignment horizontal="right" vertical="center" wrapText="1"/>
    </xf>
    <xf numFmtId="0" fontId="59" fillId="0" borderId="69" xfId="0" applyFont="1" applyFill="1" applyBorder="1" applyAlignment="1">
      <alignment horizontal="right" vertical="center" wrapText="1"/>
    </xf>
    <xf numFmtId="1" fontId="59" fillId="0" borderId="69" xfId="0" applyNumberFormat="1" applyFont="1" applyFill="1" applyBorder="1" applyAlignment="1">
      <alignment horizontal="right" vertical="center" wrapText="1"/>
    </xf>
    <xf numFmtId="0" fontId="59" fillId="0" borderId="71" xfId="0" applyFont="1" applyFill="1" applyBorder="1" applyAlignment="1">
      <alignment horizontal="right" vertical="center" wrapText="1"/>
    </xf>
    <xf numFmtId="1" fontId="59" fillId="0" borderId="70" xfId="0" applyNumberFormat="1" applyFont="1" applyFill="1" applyBorder="1" applyAlignment="1">
      <alignment horizontal="right" vertical="center" wrapText="1"/>
    </xf>
    <xf numFmtId="0" fontId="60" fillId="0" borderId="72" xfId="0" applyFont="1" applyFill="1" applyBorder="1" applyAlignment="1">
      <alignment horizontal="right" vertical="center" wrapText="1"/>
    </xf>
    <xf numFmtId="0" fontId="60" fillId="0" borderId="71" xfId="0" applyFont="1" applyFill="1" applyBorder="1" applyAlignment="1">
      <alignment horizontal="right" vertical="center" wrapText="1"/>
    </xf>
    <xf numFmtId="0" fontId="61" fillId="0" borderId="71" xfId="0" applyFont="1" applyFill="1" applyBorder="1" applyAlignment="1">
      <alignment horizontal="right" vertical="center" wrapText="1"/>
    </xf>
    <xf numFmtId="1" fontId="60" fillId="0" borderId="71" xfId="0" applyNumberFormat="1" applyFont="1" applyFill="1" applyBorder="1" applyAlignment="1">
      <alignment horizontal="right" vertical="center" wrapText="1"/>
    </xf>
    <xf numFmtId="1" fontId="60" fillId="0" borderId="73" xfId="0" applyNumberFormat="1" applyFont="1" applyFill="1" applyBorder="1" applyAlignment="1">
      <alignment horizontal="right" vertical="center" wrapText="1"/>
    </xf>
    <xf numFmtId="1" fontId="60" fillId="0" borderId="70" xfId="0" applyNumberFormat="1" applyFont="1" applyFill="1" applyBorder="1" applyAlignment="1">
      <alignment horizontal="right" vertical="center" wrapText="1"/>
    </xf>
    <xf numFmtId="0" fontId="60" fillId="0" borderId="74" xfId="0" applyFont="1" applyFill="1" applyBorder="1" applyAlignment="1">
      <alignment horizontal="right" vertical="center" wrapText="1"/>
    </xf>
    <xf numFmtId="0" fontId="59" fillId="0" borderId="72" xfId="0" applyFont="1" applyFill="1" applyBorder="1" applyAlignment="1">
      <alignment horizontal="right" vertical="center" wrapText="1"/>
    </xf>
    <xf numFmtId="0" fontId="61" fillId="0" borderId="69" xfId="0" applyFont="1" applyFill="1" applyBorder="1" applyAlignment="1">
      <alignment horizontal="right" vertical="center" wrapText="1"/>
    </xf>
    <xf numFmtId="1" fontId="59" fillId="0" borderId="67" xfId="0" applyNumberFormat="1" applyFont="1" applyFill="1" applyBorder="1" applyAlignment="1">
      <alignment horizontal="right" vertical="center" wrapText="1"/>
    </xf>
    <xf numFmtId="1" fontId="60" fillId="0" borderId="75" xfId="0" applyNumberFormat="1" applyFont="1" applyFill="1" applyBorder="1" applyAlignment="1">
      <alignment horizontal="right" vertical="center" wrapText="1"/>
    </xf>
    <xf numFmtId="0" fontId="60" fillId="0" borderId="76" xfId="0" applyFont="1" applyFill="1" applyBorder="1" applyAlignment="1">
      <alignment horizontal="center" vertical="center" wrapText="1"/>
    </xf>
    <xf numFmtId="0" fontId="59" fillId="43" borderId="77" xfId="0" applyFont="1" applyFill="1" applyBorder="1" applyAlignment="1">
      <alignment horizontal="left" vertical="center" wrapText="1"/>
    </xf>
    <xf numFmtId="0" fontId="60" fillId="43" borderId="78" xfId="0" applyFont="1" applyFill="1" applyBorder="1" applyAlignment="1">
      <alignment horizontal="right" vertical="center" wrapText="1"/>
    </xf>
    <xf numFmtId="0" fontId="60" fillId="43" borderId="79" xfId="0" applyFont="1" applyFill="1" applyBorder="1" applyAlignment="1">
      <alignment horizontal="right" vertical="center" wrapText="1"/>
    </xf>
    <xf numFmtId="0" fontId="59" fillId="43" borderId="78" xfId="0" applyFont="1" applyFill="1" applyBorder="1" applyAlignment="1">
      <alignment horizontal="right" vertical="center" wrapText="1"/>
    </xf>
    <xf numFmtId="1" fontId="59" fillId="43" borderId="79" xfId="0" applyNumberFormat="1" applyFont="1" applyFill="1" applyBorder="1" applyAlignment="1">
      <alignment horizontal="right" vertical="center" wrapText="1"/>
    </xf>
    <xf numFmtId="0" fontId="59" fillId="43" borderId="80" xfId="0" applyFont="1" applyFill="1" applyBorder="1" applyAlignment="1">
      <alignment horizontal="right" vertical="center" wrapText="1"/>
    </xf>
    <xf numFmtId="1" fontId="59" fillId="43" borderId="80" xfId="0" applyNumberFormat="1" applyFont="1" applyFill="1" applyBorder="1" applyAlignment="1">
      <alignment horizontal="right" vertical="center" wrapText="1"/>
    </xf>
    <xf numFmtId="0" fontId="59" fillId="43" borderId="81" xfId="0" applyFont="1" applyFill="1" applyBorder="1" applyAlignment="1">
      <alignment horizontal="right" vertical="center" wrapText="1"/>
    </xf>
    <xf numFmtId="1" fontId="60" fillId="43" borderId="82" xfId="0" applyNumberFormat="1" applyFont="1" applyFill="1" applyBorder="1" applyAlignment="1">
      <alignment horizontal="right" vertical="center" wrapText="1"/>
    </xf>
    <xf numFmtId="188" fontId="59" fillId="43" borderId="83" xfId="0" applyNumberFormat="1" applyFont="1" applyFill="1" applyBorder="1" applyAlignment="1">
      <alignment horizontal="right" vertical="center" wrapText="1"/>
    </xf>
    <xf numFmtId="1" fontId="60" fillId="0" borderId="62" xfId="0" applyNumberFormat="1" applyFont="1" applyFill="1" applyBorder="1" applyAlignment="1">
      <alignment horizontal="right" vertical="center" wrapText="1"/>
    </xf>
    <xf numFmtId="1" fontId="60" fillId="0" borderId="84" xfId="0" applyNumberFormat="1" applyFont="1" applyFill="1" applyBorder="1" applyAlignment="1">
      <alignment horizontal="right" vertical="center" wrapText="1"/>
    </xf>
    <xf numFmtId="0" fontId="60" fillId="0" borderId="52" xfId="0" applyFont="1" applyFill="1" applyBorder="1" applyAlignment="1">
      <alignment vertical="center" wrapText="1"/>
    </xf>
    <xf numFmtId="0" fontId="60" fillId="0" borderId="51" xfId="0" applyFont="1" applyFill="1" applyBorder="1" applyAlignment="1">
      <alignment horizontal="right" vertical="center" wrapText="1"/>
    </xf>
    <xf numFmtId="0" fontId="60" fillId="0" borderId="52" xfId="0" applyFont="1" applyFill="1" applyBorder="1" applyAlignment="1">
      <alignment horizontal="right" vertical="center" wrapText="1"/>
    </xf>
    <xf numFmtId="0" fontId="60" fillId="0" borderId="27" xfId="0" applyFont="1" applyFill="1" applyBorder="1" applyAlignment="1">
      <alignment horizontal="right" vertical="center" wrapText="1"/>
    </xf>
    <xf numFmtId="0" fontId="60" fillId="0" borderId="30" xfId="0" applyFont="1" applyFill="1" applyBorder="1" applyAlignment="1">
      <alignment horizontal="right" vertical="center" wrapText="1"/>
    </xf>
    <xf numFmtId="0" fontId="61" fillId="0" borderId="30" xfId="0" applyFont="1" applyFill="1" applyBorder="1" applyAlignment="1">
      <alignment horizontal="right" vertical="center" wrapText="1"/>
    </xf>
    <xf numFmtId="0" fontId="60" fillId="0" borderId="53" xfId="0" applyFont="1" applyFill="1" applyBorder="1" applyAlignment="1">
      <alignment horizontal="right" vertical="center" wrapText="1"/>
    </xf>
    <xf numFmtId="1" fontId="60" fillId="0" borderId="54" xfId="0" applyNumberFormat="1" applyFont="1" applyFill="1" applyBorder="1" applyAlignment="1">
      <alignment horizontal="right" vertical="center" wrapText="1"/>
    </xf>
    <xf numFmtId="0" fontId="63" fillId="0" borderId="63" xfId="0" applyFont="1" applyFill="1" applyBorder="1" applyAlignment="1">
      <alignment horizontal="right" vertical="center" wrapText="1"/>
    </xf>
    <xf numFmtId="0" fontId="63" fillId="0" borderId="61" xfId="0" applyFont="1" applyFill="1" applyBorder="1" applyAlignment="1">
      <alignment horizontal="right" vertical="center" wrapText="1"/>
    </xf>
    <xf numFmtId="1" fontId="25" fillId="0" borderId="85" xfId="0" applyNumberFormat="1" applyFont="1" applyFill="1" applyBorder="1" applyAlignment="1">
      <alignment horizontal="right" vertical="center" wrapText="1"/>
    </xf>
    <xf numFmtId="1" fontId="25" fillId="0" borderId="61" xfId="0" applyNumberFormat="1" applyFont="1" applyFill="1" applyBorder="1" applyAlignment="1">
      <alignment horizontal="right" vertical="center" wrapText="1"/>
    </xf>
    <xf numFmtId="1" fontId="25" fillId="0" borderId="60" xfId="0" applyNumberFormat="1" applyFont="1" applyFill="1" applyBorder="1" applyAlignment="1">
      <alignment horizontal="right" vertical="center" wrapText="1"/>
    </xf>
    <xf numFmtId="1" fontId="25" fillId="0" borderId="62" xfId="0" applyNumberFormat="1" applyFont="1" applyFill="1" applyBorder="1" applyAlignment="1">
      <alignment horizontal="right" vertical="center" wrapText="1"/>
    </xf>
    <xf numFmtId="1" fontId="25" fillId="0" borderId="86" xfId="0" applyNumberFormat="1" applyFont="1" applyFill="1" applyBorder="1" applyAlignment="1">
      <alignment horizontal="right" vertical="center" wrapText="1"/>
    </xf>
    <xf numFmtId="1" fontId="25" fillId="0" borderId="87" xfId="0" applyNumberFormat="1" applyFont="1" applyFill="1" applyBorder="1" applyAlignment="1">
      <alignment horizontal="right" vertical="center" wrapText="1"/>
    </xf>
    <xf numFmtId="1" fontId="25" fillId="0" borderId="63" xfId="0" applyNumberFormat="1" applyFont="1" applyFill="1" applyBorder="1" applyAlignment="1">
      <alignment horizontal="right" vertical="center" wrapText="1"/>
    </xf>
    <xf numFmtId="1" fontId="59" fillId="0" borderId="84" xfId="0" applyNumberFormat="1" applyFont="1" applyFill="1" applyBorder="1" applyAlignment="1">
      <alignment horizontal="right" vertical="center" wrapText="1"/>
    </xf>
    <xf numFmtId="1" fontId="59" fillId="0" borderId="84" xfId="0" applyNumberFormat="1" applyFont="1" applyFill="1" applyBorder="1" applyAlignment="1">
      <alignment vertical="center" wrapText="1"/>
    </xf>
    <xf numFmtId="0" fontId="63" fillId="0" borderId="47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60" fillId="0" borderId="41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1" fontId="60" fillId="0" borderId="88" xfId="0" applyNumberFormat="1" applyFont="1" applyFill="1" applyBorder="1" applyAlignment="1">
      <alignment vertical="center" wrapText="1"/>
    </xf>
    <xf numFmtId="188" fontId="60" fillId="0" borderId="45" xfId="0" applyNumberFormat="1" applyFont="1" applyFill="1" applyBorder="1" applyAlignment="1">
      <alignment vertical="center" wrapText="1"/>
    </xf>
    <xf numFmtId="0" fontId="60" fillId="0" borderId="47" xfId="0" applyFont="1" applyFill="1" applyBorder="1" applyAlignment="1">
      <alignment vertical="center" wrapText="1"/>
    </xf>
    <xf numFmtId="0" fontId="60" fillId="0" borderId="72" xfId="0" applyFont="1" applyFill="1" applyBorder="1" applyAlignment="1">
      <alignment vertical="center" wrapText="1"/>
    </xf>
    <xf numFmtId="1" fontId="60" fillId="0" borderId="70" xfId="0" applyNumberFormat="1" applyFont="1" applyFill="1" applyBorder="1" applyAlignment="1">
      <alignment vertical="center" wrapText="1"/>
    </xf>
    <xf numFmtId="0" fontId="60" fillId="0" borderId="68" xfId="0" applyFont="1" applyFill="1" applyBorder="1" applyAlignment="1">
      <alignment vertical="center" wrapText="1"/>
    </xf>
    <xf numFmtId="0" fontId="60" fillId="0" borderId="67" xfId="0" applyFont="1" applyFill="1" applyBorder="1" applyAlignment="1">
      <alignment vertical="center" wrapText="1"/>
    </xf>
    <xf numFmtId="0" fontId="60" fillId="0" borderId="69" xfId="0" applyFont="1" applyFill="1" applyBorder="1" applyAlignment="1">
      <alignment vertical="center" wrapText="1"/>
    </xf>
    <xf numFmtId="0" fontId="60" fillId="0" borderId="70" xfId="0" applyFont="1" applyFill="1" applyBorder="1" applyAlignment="1">
      <alignment vertical="center" wrapText="1"/>
    </xf>
    <xf numFmtId="1" fontId="60" fillId="0" borderId="89" xfId="0" applyNumberFormat="1" applyFont="1" applyFill="1" applyBorder="1" applyAlignment="1">
      <alignment vertical="center" wrapText="1"/>
    </xf>
    <xf numFmtId="188" fontId="60" fillId="0" borderId="7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49" fontId="59" fillId="0" borderId="41" xfId="0" applyNumberFormat="1" applyFont="1" applyFill="1" applyBorder="1" applyAlignment="1">
      <alignment horizontal="center" vertical="center" wrapText="1"/>
    </xf>
    <xf numFmtId="49" fontId="60" fillId="43" borderId="41" xfId="0" applyNumberFormat="1" applyFont="1" applyFill="1" applyBorder="1" applyAlignment="1" applyProtection="1">
      <alignment horizontal="center" vertical="center" wrapText="1"/>
      <protection/>
    </xf>
    <xf numFmtId="49" fontId="60" fillId="0" borderId="41" xfId="0" applyNumberFormat="1" applyFont="1" applyFill="1" applyBorder="1" applyAlignment="1" applyProtection="1">
      <alignment horizontal="center" vertical="center" wrapText="1"/>
      <protection/>
    </xf>
    <xf numFmtId="49" fontId="60" fillId="0" borderId="46" xfId="0" applyNumberFormat="1" applyFont="1" applyFill="1" applyBorder="1" applyAlignment="1" applyProtection="1">
      <alignment horizontal="center" vertical="center" wrapText="1"/>
      <protection/>
    </xf>
    <xf numFmtId="49" fontId="59" fillId="43" borderId="46" xfId="0" applyNumberFormat="1" applyFont="1" applyFill="1" applyBorder="1" applyAlignment="1" applyProtection="1">
      <alignment horizontal="center" vertical="center" wrapText="1"/>
      <protection/>
    </xf>
    <xf numFmtId="49" fontId="60" fillId="0" borderId="41" xfId="0" applyNumberFormat="1" applyFont="1" applyFill="1" applyBorder="1" applyAlignment="1">
      <alignment horizontal="center" vertical="center" wrapText="1"/>
    </xf>
    <xf numFmtId="49" fontId="59" fillId="43" borderId="41" xfId="0" applyNumberFormat="1" applyFont="1" applyFill="1" applyBorder="1" applyAlignment="1">
      <alignment horizontal="center" vertical="center" wrapText="1"/>
    </xf>
    <xf numFmtId="49" fontId="59" fillId="43" borderId="46" xfId="0" applyNumberFormat="1" applyFont="1" applyFill="1" applyBorder="1" applyAlignment="1">
      <alignment horizontal="center" vertical="center" wrapText="1"/>
    </xf>
    <xf numFmtId="49" fontId="59" fillId="43" borderId="60" xfId="0" applyNumberFormat="1" applyFont="1" applyFill="1" applyBorder="1" applyAlignment="1">
      <alignment horizontal="center" vertical="center" wrapText="1"/>
    </xf>
    <xf numFmtId="49" fontId="60" fillId="0" borderId="46" xfId="0" applyNumberFormat="1" applyFont="1" applyFill="1" applyBorder="1" applyAlignment="1">
      <alignment horizontal="center" vertical="center" wrapText="1"/>
    </xf>
    <xf numFmtId="49" fontId="60" fillId="0" borderId="66" xfId="0" applyNumberFormat="1" applyFont="1" applyFill="1" applyBorder="1" applyAlignment="1">
      <alignment horizontal="center" vertical="center" wrapText="1"/>
    </xf>
    <xf numFmtId="49" fontId="59" fillId="43" borderId="78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49" fontId="60" fillId="0" borderId="5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1" fontId="96" fillId="43" borderId="42" xfId="0" applyNumberFormat="1" applyFont="1" applyFill="1" applyBorder="1" applyAlignment="1">
      <alignment horizontal="right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 wrapText="1"/>
    </xf>
    <xf numFmtId="0" fontId="29" fillId="0" borderId="13" xfId="0" applyFont="1" applyFill="1" applyBorder="1" applyAlignment="1">
      <alignment horizontal="left" vertical="top" wrapText="1"/>
    </xf>
    <xf numFmtId="49" fontId="60" fillId="0" borderId="90" xfId="0" applyNumberFormat="1" applyFont="1" applyFill="1" applyBorder="1" applyAlignment="1">
      <alignment horizontal="center" vertical="center" wrapText="1"/>
    </xf>
    <xf numFmtId="0" fontId="60" fillId="0" borderId="91" xfId="0" applyFont="1" applyFill="1" applyBorder="1" applyAlignment="1">
      <alignment vertical="center" wrapText="1"/>
    </xf>
    <xf numFmtId="0" fontId="60" fillId="0" borderId="91" xfId="0" applyFont="1" applyFill="1" applyBorder="1" applyAlignment="1">
      <alignment horizontal="right" vertical="center" wrapText="1"/>
    </xf>
    <xf numFmtId="0" fontId="60" fillId="0" borderId="90" xfId="0" applyFont="1" applyFill="1" applyBorder="1" applyAlignment="1">
      <alignment horizontal="right" vertical="center" wrapText="1"/>
    </xf>
    <xf numFmtId="0" fontId="60" fillId="0" borderId="92" xfId="0" applyFont="1" applyFill="1" applyBorder="1" applyAlignment="1">
      <alignment horizontal="right" vertical="center" wrapText="1"/>
    </xf>
    <xf numFmtId="0" fontId="60" fillId="0" borderId="31" xfId="0" applyFont="1" applyFill="1" applyBorder="1" applyAlignment="1">
      <alignment horizontal="right" vertical="center" wrapText="1"/>
    </xf>
    <xf numFmtId="0" fontId="61" fillId="0" borderId="31" xfId="0" applyFont="1" applyFill="1" applyBorder="1" applyAlignment="1">
      <alignment horizontal="right" vertical="center" wrapText="1"/>
    </xf>
    <xf numFmtId="1" fontId="60" fillId="0" borderId="31" xfId="0" applyNumberFormat="1" applyFont="1" applyFill="1" applyBorder="1" applyAlignment="1">
      <alignment horizontal="right" vertical="center" wrapText="1"/>
    </xf>
    <xf numFmtId="1" fontId="60" fillId="0" borderId="91" xfId="0" applyNumberFormat="1" applyFont="1" applyFill="1" applyBorder="1" applyAlignment="1">
      <alignment horizontal="right" vertical="center" wrapText="1"/>
    </xf>
    <xf numFmtId="0" fontId="60" fillId="0" borderId="93" xfId="0" applyFont="1" applyFill="1" applyBorder="1" applyAlignment="1">
      <alignment horizontal="right" vertical="center" wrapText="1"/>
    </xf>
    <xf numFmtId="1" fontId="60" fillId="0" borderId="94" xfId="0" applyNumberFormat="1" applyFont="1" applyFill="1" applyBorder="1" applyAlignment="1">
      <alignment horizontal="right" vertical="center" wrapText="1"/>
    </xf>
    <xf numFmtId="0" fontId="60" fillId="0" borderId="95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textRotation="90" wrapText="1"/>
    </xf>
    <xf numFmtId="1" fontId="60" fillId="0" borderId="25" xfId="0" applyNumberFormat="1" applyFont="1" applyFill="1" applyBorder="1" applyAlignment="1">
      <alignment horizontal="center" vertical="center" textRotation="90" wrapText="1"/>
    </xf>
    <xf numFmtId="0" fontId="60" fillId="0" borderId="45" xfId="0" applyFont="1" applyFill="1" applyBorder="1" applyAlignment="1">
      <alignment horizontal="center" vertical="center" wrapText="1"/>
    </xf>
    <xf numFmtId="1" fontId="25" fillId="43" borderId="44" xfId="0" applyNumberFormat="1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wrapText="1"/>
    </xf>
    <xf numFmtId="0" fontId="43" fillId="45" borderId="0" xfId="0" applyFont="1" applyFill="1" applyAlignment="1">
      <alignment wrapText="1"/>
    </xf>
    <xf numFmtId="0" fontId="91" fillId="45" borderId="0" xfId="0" applyFont="1" applyFill="1" applyBorder="1" applyAlignment="1">
      <alignment wrapText="1"/>
    </xf>
    <xf numFmtId="2" fontId="97" fillId="45" borderId="0" xfId="0" applyNumberFormat="1" applyFont="1" applyFill="1" applyBorder="1" applyAlignment="1">
      <alignment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textRotation="90" wrapText="1"/>
      <protection/>
    </xf>
    <xf numFmtId="0" fontId="27" fillId="0" borderId="14" xfId="0" applyFont="1" applyBorder="1" applyAlignment="1" applyProtection="1">
      <alignment horizontal="center" vertical="center" textRotation="90" wrapText="1"/>
      <protection/>
    </xf>
    <xf numFmtId="0" fontId="27" fillId="0" borderId="17" xfId="0" applyFont="1" applyBorder="1" applyAlignment="1" applyProtection="1">
      <alignment horizontal="center" vertical="center" textRotation="90" wrapText="1"/>
      <protection/>
    </xf>
    <xf numFmtId="0" fontId="27" fillId="0" borderId="38" xfId="0" applyFont="1" applyBorder="1" applyAlignment="1" applyProtection="1">
      <alignment horizontal="center" vertical="center" textRotation="90" wrapText="1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center" vertical="center" textRotation="90" wrapText="1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6" fillId="0" borderId="97" xfId="0" applyFont="1" applyBorder="1" applyAlignment="1" applyProtection="1">
      <alignment horizontal="center" vertical="center"/>
      <protection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49" fontId="59" fillId="0" borderId="60" xfId="0" applyNumberFormat="1" applyFont="1" applyFill="1" applyBorder="1" applyAlignment="1">
      <alignment horizontal="center" vertical="center" wrapText="1"/>
    </xf>
    <xf numFmtId="49" fontId="59" fillId="0" borderId="41" xfId="0" applyNumberFormat="1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textRotation="90" wrapText="1"/>
    </xf>
    <xf numFmtId="0" fontId="59" fillId="0" borderId="41" xfId="0" applyFont="1" applyFill="1" applyBorder="1" applyAlignment="1">
      <alignment horizontal="center" vertical="center" textRotation="90" wrapText="1"/>
    </xf>
    <xf numFmtId="0" fontId="59" fillId="0" borderId="61" xfId="0" applyFont="1" applyFill="1" applyBorder="1" applyAlignment="1">
      <alignment horizontal="center" vertical="center" textRotation="90" wrapText="1"/>
    </xf>
    <xf numFmtId="0" fontId="59" fillId="0" borderId="42" xfId="0" applyFont="1" applyFill="1" applyBorder="1" applyAlignment="1">
      <alignment horizontal="center" vertical="center" textRotation="90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62" xfId="0" applyFont="1" applyFill="1" applyBorder="1" applyAlignment="1">
      <alignment horizontal="center" vertical="center" wrapText="1"/>
    </xf>
    <xf numFmtId="0" fontId="59" fillId="0" borderId="85" xfId="0" applyFont="1" applyFill="1" applyBorder="1" applyAlignment="1">
      <alignment horizontal="center" vertical="center" wrapText="1"/>
    </xf>
    <xf numFmtId="0" fontId="59" fillId="0" borderId="102" xfId="0" applyFont="1" applyFill="1" applyBorder="1" applyAlignment="1">
      <alignment horizontal="center" vertical="center" wrapText="1"/>
    </xf>
    <xf numFmtId="0" fontId="59" fillId="0" borderId="103" xfId="0" applyFont="1" applyFill="1" applyBorder="1" applyAlignment="1">
      <alignment horizontal="center" vertical="center" wrapText="1"/>
    </xf>
    <xf numFmtId="1" fontId="59" fillId="0" borderId="84" xfId="0" applyNumberFormat="1" applyFont="1" applyFill="1" applyBorder="1" applyAlignment="1">
      <alignment horizontal="center" vertical="center" textRotation="90" wrapText="1"/>
    </xf>
    <xf numFmtId="1" fontId="59" fillId="0" borderId="45" xfId="0" applyNumberFormat="1" applyFont="1" applyFill="1" applyBorder="1" applyAlignment="1">
      <alignment horizontal="center" vertical="center" textRotation="90" wrapText="1"/>
    </xf>
    <xf numFmtId="0" fontId="60" fillId="0" borderId="41" xfId="0" applyFont="1" applyFill="1" applyBorder="1" applyAlignment="1">
      <alignment horizontal="center" vertical="center" textRotation="90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0" fontId="60" fillId="0" borderId="25" xfId="0" applyFont="1" applyFill="1" applyBorder="1" applyAlignment="1">
      <alignment horizontal="center" wrapText="1"/>
    </xf>
    <xf numFmtId="0" fontId="60" fillId="0" borderId="42" xfId="0" applyFont="1" applyFill="1" applyBorder="1" applyAlignment="1">
      <alignment horizontal="center" wrapText="1"/>
    </xf>
    <xf numFmtId="0" fontId="60" fillId="0" borderId="47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0" fillId="0" borderId="42" xfId="0" applyFont="1" applyFill="1" applyBorder="1" applyAlignment="1">
      <alignment horizontal="center" vertical="center" textRotation="90" wrapText="1"/>
    </xf>
    <xf numFmtId="0" fontId="60" fillId="0" borderId="44" xfId="0" applyFont="1" applyFill="1" applyBorder="1" applyAlignment="1">
      <alignment horizontal="center" wrapText="1"/>
    </xf>
    <xf numFmtId="0" fontId="60" fillId="0" borderId="43" xfId="0" applyFont="1" applyFill="1" applyBorder="1" applyAlignment="1">
      <alignment horizontal="center" wrapText="1"/>
    </xf>
    <xf numFmtId="0" fontId="60" fillId="0" borderId="88" xfId="0" applyFont="1" applyFill="1" applyBorder="1" applyAlignment="1">
      <alignment horizontal="center" wrapText="1"/>
    </xf>
    <xf numFmtId="1" fontId="60" fillId="0" borderId="43" xfId="0" applyNumberFormat="1" applyFont="1" applyFill="1" applyBorder="1" applyAlignment="1">
      <alignment horizontal="center" vertical="center" wrapText="1"/>
    </xf>
    <xf numFmtId="1" fontId="60" fillId="0" borderId="88" xfId="0" applyNumberFormat="1" applyFont="1" applyFill="1" applyBorder="1" applyAlignment="1">
      <alignment horizontal="center" vertical="center" wrapText="1"/>
    </xf>
    <xf numFmtId="1" fontId="60" fillId="0" borderId="44" xfId="0" applyNumberFormat="1" applyFont="1" applyFill="1" applyBorder="1" applyAlignment="1">
      <alignment horizontal="center" vertical="center" wrapText="1"/>
    </xf>
    <xf numFmtId="1" fontId="60" fillId="0" borderId="25" xfId="0" applyNumberFormat="1" applyFont="1" applyFill="1" applyBorder="1" applyAlignment="1">
      <alignment horizontal="center" vertical="center" wrapText="1"/>
    </xf>
    <xf numFmtId="0" fontId="60" fillId="0" borderId="60" xfId="0" applyFont="1" applyFill="1" applyBorder="1" applyAlignment="1" applyProtection="1">
      <alignment horizontal="left" vertical="center" wrapText="1"/>
      <protection/>
    </xf>
    <xf numFmtId="0" fontId="60" fillId="0" borderId="61" xfId="0" applyFont="1" applyFill="1" applyBorder="1" applyAlignment="1" applyProtection="1">
      <alignment horizontal="left" vertical="center" wrapText="1"/>
      <protection/>
    </xf>
    <xf numFmtId="0" fontId="60" fillId="0" borderId="41" xfId="0" applyFont="1" applyFill="1" applyBorder="1" applyAlignment="1" applyProtection="1">
      <alignment horizontal="left" vertical="center" wrapText="1"/>
      <protection/>
    </xf>
    <xf numFmtId="0" fontId="60" fillId="0" borderId="42" xfId="0" applyFont="1" applyFill="1" applyBorder="1" applyAlignment="1" applyProtection="1">
      <alignment horizontal="left" vertical="center" wrapText="1"/>
      <protection/>
    </xf>
    <xf numFmtId="188" fontId="60" fillId="0" borderId="44" xfId="0" applyNumberFormat="1" applyFont="1" applyFill="1" applyBorder="1" applyAlignment="1">
      <alignment horizontal="center" vertical="center" wrapText="1"/>
    </xf>
    <xf numFmtId="188" fontId="60" fillId="0" borderId="43" xfId="0" applyNumberFormat="1" applyFont="1" applyFill="1" applyBorder="1" applyAlignment="1">
      <alignment horizontal="center" vertical="center" wrapText="1"/>
    </xf>
    <xf numFmtId="188" fontId="60" fillId="0" borderId="88" xfId="0" applyNumberFormat="1" applyFont="1" applyFill="1" applyBorder="1" applyAlignment="1">
      <alignment horizontal="center" vertical="center" wrapText="1"/>
    </xf>
    <xf numFmtId="188" fontId="60" fillId="0" borderId="25" xfId="0" applyNumberFormat="1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 applyProtection="1">
      <alignment horizontal="left" vertical="center" wrapText="1"/>
      <protection/>
    </xf>
    <xf numFmtId="0" fontId="60" fillId="0" borderId="70" xfId="0" applyFont="1" applyFill="1" applyBorder="1" applyAlignment="1" applyProtection="1">
      <alignment horizontal="left" vertical="center" wrapText="1"/>
      <protection/>
    </xf>
    <xf numFmtId="1" fontId="60" fillId="0" borderId="104" xfId="0" applyNumberFormat="1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 wrapText="1"/>
    </xf>
    <xf numFmtId="1" fontId="60" fillId="0" borderId="105" xfId="0" applyNumberFormat="1" applyFont="1" applyFill="1" applyBorder="1" applyAlignment="1">
      <alignment horizontal="center" vertical="center" wrapText="1"/>
    </xf>
    <xf numFmtId="0" fontId="60" fillId="0" borderId="72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88" xfId="0" applyFont="1" applyFill="1" applyBorder="1" applyAlignment="1">
      <alignment horizontal="center" vertical="center" wrapText="1"/>
    </xf>
    <xf numFmtId="0" fontId="59" fillId="0" borderId="84" xfId="0" applyFont="1" applyFill="1" applyBorder="1" applyAlignment="1">
      <alignment horizontal="center" vertical="center" textRotation="90" wrapText="1"/>
    </xf>
    <xf numFmtId="0" fontId="59" fillId="0" borderId="45" xfId="0" applyFont="1" applyFill="1" applyBorder="1" applyAlignment="1">
      <alignment horizontal="center" vertical="center" textRotation="90" wrapText="1"/>
    </xf>
    <xf numFmtId="1" fontId="20" fillId="0" borderId="106" xfId="0" applyNumberFormat="1" applyFont="1" applyFill="1" applyBorder="1" applyAlignment="1">
      <alignment horizontal="center" wrapText="1"/>
    </xf>
    <xf numFmtId="0" fontId="20" fillId="0" borderId="106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9" fillId="0" borderId="9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77">
    <dxf>
      <fill>
        <patternFill patternType="solid">
          <fgColor theme="0"/>
          <bgColor theme="0"/>
        </patternFill>
      </fill>
    </dxf>
    <dxf>
      <font>
        <color indexed="9"/>
      </font>
    </dxf>
    <dxf>
      <font>
        <name val="Calibri Light"/>
        <color theme="0"/>
      </font>
    </dxf>
    <dxf>
      <font>
        <color indexed="9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name val="Calibri Light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name val="Calibri Light"/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I26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4.140625" style="1" customWidth="1"/>
    <col min="2" max="2" width="3.28125" style="1" customWidth="1"/>
    <col min="3" max="4" width="3.421875" style="1" customWidth="1"/>
    <col min="5" max="5" width="3.57421875" style="1" customWidth="1"/>
    <col min="6" max="6" width="4.00390625" style="1" customWidth="1"/>
    <col min="7" max="7" width="4.140625" style="1" customWidth="1"/>
    <col min="8" max="10" width="3.421875" style="1" customWidth="1"/>
    <col min="11" max="11" width="3.00390625" style="1" customWidth="1"/>
    <col min="12" max="14" width="3.421875" style="1" customWidth="1"/>
    <col min="15" max="15" width="3.00390625" style="1" customWidth="1"/>
    <col min="16" max="16" width="3.28125" style="1" customWidth="1"/>
    <col min="17" max="18" width="3.421875" style="1" customWidth="1"/>
    <col min="19" max="19" width="3.57421875" style="1" customWidth="1"/>
    <col min="20" max="20" width="3.28125" style="1" customWidth="1"/>
    <col min="21" max="24" width="3.421875" style="1" customWidth="1"/>
    <col min="25" max="25" width="3.7109375" style="1" customWidth="1"/>
    <col min="26" max="27" width="3.421875" style="1" customWidth="1"/>
    <col min="28" max="28" width="4.140625" style="1" customWidth="1"/>
    <col min="29" max="31" width="3.421875" style="1" customWidth="1"/>
    <col min="32" max="32" width="3.7109375" style="1" customWidth="1"/>
    <col min="33" max="35" width="3.421875" style="1" customWidth="1"/>
    <col min="36" max="36" width="3.8515625" style="1" customWidth="1"/>
    <col min="37" max="40" width="3.421875" style="1" customWidth="1"/>
    <col min="41" max="41" width="3.28125" style="1" customWidth="1"/>
    <col min="42" max="42" width="3.7109375" style="1" customWidth="1"/>
    <col min="43" max="43" width="3.8515625" style="1" customWidth="1"/>
    <col min="44" max="48" width="3.421875" style="1" customWidth="1"/>
    <col min="49" max="49" width="3.7109375" style="1" customWidth="1"/>
    <col min="50" max="50" width="3.00390625" style="1" customWidth="1"/>
    <col min="51" max="53" width="3.421875" style="1" customWidth="1"/>
    <col min="54" max="54" width="6.8515625" style="1" customWidth="1"/>
    <col min="55" max="55" width="7.00390625" style="1" customWidth="1"/>
    <col min="56" max="56" width="5.421875" style="1" customWidth="1"/>
    <col min="57" max="57" width="6.7109375" style="1" customWidth="1"/>
    <col min="58" max="58" width="6.8515625" style="1" customWidth="1"/>
    <col min="59" max="59" width="5.00390625" style="1" customWidth="1"/>
    <col min="60" max="60" width="6.7109375" style="1" customWidth="1"/>
    <col min="61" max="16384" width="9.140625" style="1" customWidth="1"/>
  </cols>
  <sheetData>
    <row r="1" spans="1:60" ht="21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9"/>
      <c r="P1" s="29"/>
      <c r="Q1" s="29"/>
      <c r="R1" s="29"/>
      <c r="S1" s="29"/>
      <c r="T1" s="29"/>
      <c r="U1" s="517" t="s">
        <v>576</v>
      </c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29"/>
      <c r="AV1" s="29"/>
      <c r="AW1" s="29"/>
      <c r="AX1" s="29"/>
      <c r="AY1" s="29"/>
      <c r="BA1" s="28" t="s">
        <v>0</v>
      </c>
      <c r="BB1" s="29"/>
      <c r="BC1" s="30"/>
      <c r="BD1" s="30"/>
      <c r="BE1" s="30"/>
      <c r="BF1" s="30"/>
      <c r="BG1" s="30"/>
      <c r="BH1" s="29"/>
    </row>
    <row r="2" spans="1:60" ht="16.5">
      <c r="A2" s="32" t="s">
        <v>577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3"/>
      <c r="O2" s="33"/>
      <c r="P2" s="33"/>
      <c r="Q2" s="33"/>
      <c r="R2" s="33"/>
      <c r="S2" s="33"/>
      <c r="T2" s="33"/>
      <c r="U2" s="32"/>
      <c r="V2" s="29"/>
      <c r="W2" s="29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29"/>
      <c r="AS2" s="29" t="s">
        <v>586</v>
      </c>
      <c r="AT2" s="29"/>
      <c r="AU2" s="29"/>
      <c r="AV2" s="29"/>
      <c r="AW2" s="29"/>
      <c r="AX2" s="34"/>
      <c r="AY2" s="29"/>
      <c r="BA2" s="32" t="s">
        <v>577</v>
      </c>
      <c r="BB2" s="29"/>
      <c r="BC2" s="33"/>
      <c r="BD2" s="33"/>
      <c r="BE2" s="28"/>
      <c r="BF2" s="28"/>
      <c r="BG2" s="28"/>
      <c r="BH2" s="29"/>
    </row>
    <row r="3" spans="1:60" ht="16.5">
      <c r="A3" s="32" t="s">
        <v>578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3"/>
      <c r="O3" s="33"/>
      <c r="P3" s="33"/>
      <c r="Q3" s="33"/>
      <c r="R3" s="33"/>
      <c r="S3" s="33"/>
      <c r="T3" s="33"/>
      <c r="U3" s="518" t="s">
        <v>584</v>
      </c>
      <c r="V3" s="518"/>
      <c r="W3" s="518"/>
      <c r="X3" s="518" t="s">
        <v>1</v>
      </c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29"/>
      <c r="AV3" s="29"/>
      <c r="AW3" s="29"/>
      <c r="AX3" s="34"/>
      <c r="AY3" s="29"/>
      <c r="BA3" s="32" t="s">
        <v>661</v>
      </c>
      <c r="BB3" s="29"/>
      <c r="BC3" s="33"/>
      <c r="BD3" s="33"/>
      <c r="BE3" s="28"/>
      <c r="BF3" s="28"/>
      <c r="BG3" s="28"/>
      <c r="BH3" s="29"/>
    </row>
    <row r="4" spans="1:60" ht="16.5">
      <c r="A4" s="32" t="s">
        <v>579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2"/>
      <c r="O4" s="29"/>
      <c r="P4" s="29"/>
      <c r="Q4" s="29"/>
      <c r="R4" s="29"/>
      <c r="S4" s="29"/>
      <c r="T4" s="29"/>
      <c r="AS4" s="29" t="s">
        <v>416</v>
      </c>
      <c r="AU4" s="29"/>
      <c r="AV4" s="29"/>
      <c r="AW4" s="29"/>
      <c r="AX4" s="34"/>
      <c r="AY4" s="29"/>
      <c r="BA4" s="32" t="s">
        <v>579</v>
      </c>
      <c r="BB4" s="29"/>
      <c r="BC4" s="29"/>
      <c r="BD4" s="29"/>
      <c r="BE4" s="29"/>
      <c r="BF4" s="32"/>
      <c r="BG4" s="29"/>
      <c r="BH4" s="29"/>
    </row>
    <row r="5" spans="1:60" ht="21" customHeight="1">
      <c r="A5" s="32" t="s">
        <v>580</v>
      </c>
      <c r="B5" s="29"/>
      <c r="C5" s="29"/>
      <c r="D5" s="29"/>
      <c r="E5" s="29"/>
      <c r="F5" s="29"/>
      <c r="G5" s="32" t="s">
        <v>581</v>
      </c>
      <c r="H5" s="29"/>
      <c r="I5" s="29"/>
      <c r="J5" s="29"/>
      <c r="K5" s="29"/>
      <c r="L5" s="29"/>
      <c r="M5" s="29"/>
      <c r="N5" s="32"/>
      <c r="O5" s="29"/>
      <c r="P5" s="29"/>
      <c r="Q5" s="29"/>
      <c r="R5" s="29"/>
      <c r="S5" s="29"/>
      <c r="T5" s="29"/>
      <c r="U5" s="29"/>
      <c r="V5" s="29"/>
      <c r="W5" s="29"/>
      <c r="X5" s="518" t="s">
        <v>585</v>
      </c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29"/>
      <c r="AS5" s="29" t="s">
        <v>415</v>
      </c>
      <c r="AT5" s="29"/>
      <c r="AU5" s="29"/>
      <c r="AV5" s="29"/>
      <c r="AW5" s="29"/>
      <c r="AX5" s="34"/>
      <c r="AY5" s="29"/>
      <c r="AZ5" s="29"/>
      <c r="BA5" s="32" t="s">
        <v>580</v>
      </c>
      <c r="BB5" s="29"/>
      <c r="BC5" s="29"/>
      <c r="BD5" s="32" t="s">
        <v>601</v>
      </c>
      <c r="BE5" s="32"/>
      <c r="BF5" s="32"/>
      <c r="BG5" s="29"/>
      <c r="BH5" s="29"/>
    </row>
    <row r="6" spans="1:60" ht="16.5">
      <c r="A6" s="29" t="s">
        <v>583</v>
      </c>
      <c r="B6" s="29"/>
      <c r="C6" s="29"/>
      <c r="D6" s="3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5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36"/>
      <c r="AR6" s="29"/>
      <c r="AT6" s="29"/>
      <c r="AU6" s="29"/>
      <c r="AV6" s="29"/>
      <c r="AW6" s="29"/>
      <c r="AX6" s="37"/>
      <c r="AY6" s="29"/>
      <c r="AZ6" s="29"/>
      <c r="BA6" s="29" t="s">
        <v>583</v>
      </c>
      <c r="BB6" s="29"/>
      <c r="BC6" s="29"/>
      <c r="BD6" s="29"/>
      <c r="BE6" s="29"/>
      <c r="BF6" s="29"/>
      <c r="BG6" s="29"/>
      <c r="BH6" s="29"/>
    </row>
    <row r="7" spans="1:61" ht="21" customHeight="1">
      <c r="A7" s="29" t="s">
        <v>582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31"/>
      <c r="AS7" s="29"/>
      <c r="AT7" s="29"/>
      <c r="AU7" s="29"/>
      <c r="AV7" s="29"/>
      <c r="AW7" s="29"/>
      <c r="AX7" s="29"/>
      <c r="AY7" s="29"/>
      <c r="AZ7" s="29"/>
      <c r="BB7" s="29"/>
      <c r="BC7" s="29"/>
      <c r="BD7" s="29"/>
      <c r="BE7" s="35"/>
      <c r="BF7" s="35"/>
      <c r="BG7" s="29"/>
      <c r="BH7" s="29"/>
      <c r="BI7" s="5"/>
    </row>
    <row r="8" spans="1:61" ht="21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1"/>
      <c r="AS8" s="29"/>
      <c r="AT8" s="29"/>
      <c r="AU8" s="29"/>
      <c r="AV8" s="29"/>
      <c r="AW8" s="29"/>
      <c r="AX8" s="29"/>
      <c r="AY8" s="29"/>
      <c r="AZ8" s="29"/>
      <c r="BB8" s="29"/>
      <c r="BC8" s="29"/>
      <c r="BD8" s="29"/>
      <c r="BE8" s="35"/>
      <c r="BF8" s="35"/>
      <c r="BG8" s="29"/>
      <c r="BH8" s="29"/>
      <c r="BI8" s="5"/>
    </row>
    <row r="9" spans="1:61" ht="0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1"/>
      <c r="AS9" s="29"/>
      <c r="AT9" s="29"/>
      <c r="AU9" s="29"/>
      <c r="AV9" s="29"/>
      <c r="AW9" s="29"/>
      <c r="AX9" s="29"/>
      <c r="AY9" s="29"/>
      <c r="AZ9" s="29"/>
      <c r="BB9" s="29"/>
      <c r="BC9" s="29"/>
      <c r="BD9" s="29"/>
      <c r="BE9" s="35"/>
      <c r="BF9" s="35"/>
      <c r="BG9" s="29"/>
      <c r="BH9" s="29"/>
      <c r="BI9" s="5"/>
    </row>
    <row r="10" spans="1:61" ht="21" customHeight="1" hidden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1"/>
      <c r="AS10" s="29"/>
      <c r="AT10" s="29"/>
      <c r="AU10" s="29"/>
      <c r="AV10" s="29"/>
      <c r="AW10" s="29"/>
      <c r="AX10" s="29"/>
      <c r="AY10" s="29"/>
      <c r="AZ10" s="29"/>
      <c r="BB10" s="29"/>
      <c r="BC10" s="29"/>
      <c r="BD10" s="29"/>
      <c r="BE10" s="35"/>
      <c r="BF10" s="35"/>
      <c r="BG10" s="29"/>
      <c r="BH10" s="29"/>
      <c r="BI10" s="5"/>
    </row>
    <row r="11" spans="1:48" ht="19.5" customHeight="1" thickBot="1">
      <c r="A11" s="11" t="s">
        <v>135</v>
      </c>
      <c r="C11" s="12"/>
      <c r="V11" s="9"/>
      <c r="W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9"/>
      <c r="AM11" s="9"/>
      <c r="AN11" s="9"/>
      <c r="AP11" s="9"/>
      <c r="AQ11" s="9"/>
      <c r="AR11" s="9"/>
      <c r="AV11" s="11" t="s">
        <v>414</v>
      </c>
    </row>
    <row r="12" spans="22:60" ht="7.5" customHeight="1" hidden="1" thickBot="1">
      <c r="V12" s="13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P12" s="9"/>
      <c r="AQ12" s="9"/>
      <c r="AR12" s="9"/>
      <c r="BB12" s="43"/>
      <c r="BC12" s="14"/>
      <c r="BD12" s="14"/>
      <c r="BE12" s="14"/>
      <c r="BF12" s="14"/>
      <c r="BG12" s="14"/>
      <c r="BH12" s="14"/>
    </row>
    <row r="13" spans="1:60" ht="15.75" thickTop="1">
      <c r="A13" s="533" t="s">
        <v>31</v>
      </c>
      <c r="B13" s="536" t="s">
        <v>24</v>
      </c>
      <c r="C13" s="529"/>
      <c r="D13" s="529"/>
      <c r="E13" s="530"/>
      <c r="F13" s="123" t="s">
        <v>22</v>
      </c>
      <c r="G13" s="528" t="s">
        <v>23</v>
      </c>
      <c r="H13" s="529"/>
      <c r="I13" s="530"/>
      <c r="J13" s="123" t="s">
        <v>22</v>
      </c>
      <c r="K13" s="528" t="s">
        <v>25</v>
      </c>
      <c r="L13" s="529"/>
      <c r="M13" s="529"/>
      <c r="N13" s="530"/>
      <c r="O13" s="528" t="s">
        <v>2</v>
      </c>
      <c r="P13" s="529"/>
      <c r="Q13" s="529"/>
      <c r="R13" s="530"/>
      <c r="S13" s="123"/>
      <c r="T13" s="528" t="s">
        <v>3</v>
      </c>
      <c r="U13" s="529"/>
      <c r="V13" s="529"/>
      <c r="W13" s="123"/>
      <c r="X13" s="528" t="s">
        <v>4</v>
      </c>
      <c r="Y13" s="529"/>
      <c r="Z13" s="530"/>
      <c r="AA13" s="123"/>
      <c r="AB13" s="528" t="s">
        <v>26</v>
      </c>
      <c r="AC13" s="529"/>
      <c r="AD13" s="529"/>
      <c r="AE13" s="530"/>
      <c r="AF13" s="123"/>
      <c r="AG13" s="528" t="s">
        <v>27</v>
      </c>
      <c r="AH13" s="529"/>
      <c r="AI13" s="530"/>
      <c r="AJ13" s="123"/>
      <c r="AK13" s="528" t="s">
        <v>28</v>
      </c>
      <c r="AL13" s="529"/>
      <c r="AM13" s="529"/>
      <c r="AN13" s="530"/>
      <c r="AO13" s="528" t="s">
        <v>29</v>
      </c>
      <c r="AP13" s="529"/>
      <c r="AQ13" s="529"/>
      <c r="AR13" s="530"/>
      <c r="AS13" s="123"/>
      <c r="AT13" s="528" t="s">
        <v>30</v>
      </c>
      <c r="AU13" s="529"/>
      <c r="AV13" s="530"/>
      <c r="AW13" s="123"/>
      <c r="AX13" s="531" t="s">
        <v>5</v>
      </c>
      <c r="AY13" s="531"/>
      <c r="AZ13" s="531"/>
      <c r="BA13" s="532"/>
      <c r="BB13" s="522" t="s">
        <v>6</v>
      </c>
      <c r="BC13" s="525" t="s">
        <v>32</v>
      </c>
      <c r="BD13" s="525" t="s">
        <v>125</v>
      </c>
      <c r="BE13" s="525" t="s">
        <v>33</v>
      </c>
      <c r="BF13" s="525" t="s">
        <v>34</v>
      </c>
      <c r="BG13" s="525" t="s">
        <v>7</v>
      </c>
      <c r="BH13" s="519" t="s">
        <v>35</v>
      </c>
    </row>
    <row r="14" spans="1:60" ht="39.75" customHeight="1">
      <c r="A14" s="534"/>
      <c r="B14" s="124">
        <v>1</v>
      </c>
      <c r="C14" s="125">
        <v>8</v>
      </c>
      <c r="D14" s="125">
        <v>15</v>
      </c>
      <c r="E14" s="125">
        <v>22</v>
      </c>
      <c r="F14" s="126" t="s">
        <v>417</v>
      </c>
      <c r="G14" s="125">
        <v>6</v>
      </c>
      <c r="H14" s="125">
        <v>13</v>
      </c>
      <c r="I14" s="125">
        <v>20</v>
      </c>
      <c r="J14" s="126" t="s">
        <v>418</v>
      </c>
      <c r="K14" s="127">
        <v>3</v>
      </c>
      <c r="L14" s="127">
        <v>10</v>
      </c>
      <c r="M14" s="127">
        <v>17</v>
      </c>
      <c r="N14" s="127">
        <v>24</v>
      </c>
      <c r="O14" s="127">
        <v>1</v>
      </c>
      <c r="P14" s="127">
        <v>8</v>
      </c>
      <c r="Q14" s="127">
        <v>15</v>
      </c>
      <c r="R14" s="127">
        <v>22</v>
      </c>
      <c r="S14" s="126" t="s">
        <v>419</v>
      </c>
      <c r="T14" s="127">
        <v>5</v>
      </c>
      <c r="U14" s="127">
        <v>12</v>
      </c>
      <c r="V14" s="127">
        <v>19</v>
      </c>
      <c r="W14" s="126" t="s">
        <v>420</v>
      </c>
      <c r="X14" s="127">
        <v>2</v>
      </c>
      <c r="Y14" s="127">
        <v>9</v>
      </c>
      <c r="Z14" s="127">
        <v>16</v>
      </c>
      <c r="AA14" s="126" t="s">
        <v>421</v>
      </c>
      <c r="AB14" s="127">
        <v>2</v>
      </c>
      <c r="AC14" s="127">
        <v>9</v>
      </c>
      <c r="AD14" s="127">
        <v>16</v>
      </c>
      <c r="AE14" s="127">
        <v>23</v>
      </c>
      <c r="AF14" s="126" t="s">
        <v>422</v>
      </c>
      <c r="AG14" s="127">
        <v>6</v>
      </c>
      <c r="AH14" s="127">
        <v>13</v>
      </c>
      <c r="AI14" s="127">
        <v>20</v>
      </c>
      <c r="AJ14" s="126" t="s">
        <v>423</v>
      </c>
      <c r="AK14" s="127">
        <v>4</v>
      </c>
      <c r="AL14" s="127">
        <v>11</v>
      </c>
      <c r="AM14" s="127">
        <v>18</v>
      </c>
      <c r="AN14" s="127">
        <v>25</v>
      </c>
      <c r="AO14" s="127">
        <v>1</v>
      </c>
      <c r="AP14" s="127">
        <v>8</v>
      </c>
      <c r="AQ14" s="127">
        <v>15</v>
      </c>
      <c r="AR14" s="127">
        <v>22</v>
      </c>
      <c r="AS14" s="126" t="s">
        <v>424</v>
      </c>
      <c r="AT14" s="127">
        <v>6</v>
      </c>
      <c r="AU14" s="127">
        <v>13</v>
      </c>
      <c r="AV14" s="127">
        <v>20</v>
      </c>
      <c r="AW14" s="126" t="s">
        <v>425</v>
      </c>
      <c r="AX14" s="127">
        <v>3</v>
      </c>
      <c r="AY14" s="127">
        <v>10</v>
      </c>
      <c r="AZ14" s="127">
        <v>17</v>
      </c>
      <c r="BA14" s="128">
        <v>24</v>
      </c>
      <c r="BB14" s="523"/>
      <c r="BC14" s="526"/>
      <c r="BD14" s="526"/>
      <c r="BE14" s="526"/>
      <c r="BF14" s="526"/>
      <c r="BG14" s="526"/>
      <c r="BH14" s="520"/>
    </row>
    <row r="15" spans="1:60" ht="6.75" customHeight="1">
      <c r="A15" s="534"/>
      <c r="B15" s="129"/>
      <c r="C15" s="130"/>
      <c r="D15" s="130"/>
      <c r="E15" s="130"/>
      <c r="F15" s="126"/>
      <c r="G15" s="130"/>
      <c r="H15" s="130"/>
      <c r="I15" s="130"/>
      <c r="J15" s="126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523"/>
      <c r="BC15" s="526"/>
      <c r="BD15" s="526"/>
      <c r="BE15" s="526"/>
      <c r="BF15" s="526"/>
      <c r="BG15" s="526"/>
      <c r="BH15" s="520"/>
    </row>
    <row r="16" spans="1:60" ht="44.25" customHeight="1" thickBot="1">
      <c r="A16" s="535"/>
      <c r="B16" s="133">
        <v>7</v>
      </c>
      <c r="C16" s="134">
        <v>14</v>
      </c>
      <c r="D16" s="134">
        <v>21</v>
      </c>
      <c r="E16" s="134">
        <v>28</v>
      </c>
      <c r="F16" s="135" t="s">
        <v>426</v>
      </c>
      <c r="G16" s="134">
        <v>12</v>
      </c>
      <c r="H16" s="134">
        <v>19</v>
      </c>
      <c r="I16" s="134">
        <v>26</v>
      </c>
      <c r="J16" s="135" t="s">
        <v>427</v>
      </c>
      <c r="K16" s="136">
        <v>9</v>
      </c>
      <c r="L16" s="136">
        <v>16</v>
      </c>
      <c r="M16" s="136">
        <v>23</v>
      </c>
      <c r="N16" s="136">
        <v>30</v>
      </c>
      <c r="O16" s="136">
        <v>7</v>
      </c>
      <c r="P16" s="136">
        <v>14</v>
      </c>
      <c r="Q16" s="136">
        <v>21</v>
      </c>
      <c r="R16" s="136">
        <v>28</v>
      </c>
      <c r="S16" s="135" t="s">
        <v>428</v>
      </c>
      <c r="T16" s="136">
        <v>11</v>
      </c>
      <c r="U16" s="136">
        <v>18</v>
      </c>
      <c r="V16" s="136">
        <v>25</v>
      </c>
      <c r="W16" s="135" t="s">
        <v>429</v>
      </c>
      <c r="X16" s="136">
        <v>8</v>
      </c>
      <c r="Y16" s="136">
        <v>15</v>
      </c>
      <c r="Z16" s="136">
        <v>22</v>
      </c>
      <c r="AA16" s="135" t="s">
        <v>430</v>
      </c>
      <c r="AB16" s="136">
        <v>8</v>
      </c>
      <c r="AC16" s="136">
        <v>15</v>
      </c>
      <c r="AD16" s="136">
        <v>22</v>
      </c>
      <c r="AE16" s="136">
        <v>29</v>
      </c>
      <c r="AF16" s="135" t="s">
        <v>431</v>
      </c>
      <c r="AG16" s="136">
        <v>12</v>
      </c>
      <c r="AH16" s="136">
        <v>19</v>
      </c>
      <c r="AI16" s="136">
        <v>26</v>
      </c>
      <c r="AJ16" s="135" t="s">
        <v>432</v>
      </c>
      <c r="AK16" s="136">
        <v>10</v>
      </c>
      <c r="AL16" s="136">
        <v>17</v>
      </c>
      <c r="AM16" s="136">
        <v>24</v>
      </c>
      <c r="AN16" s="136">
        <v>31</v>
      </c>
      <c r="AO16" s="136">
        <v>7</v>
      </c>
      <c r="AP16" s="136">
        <v>14</v>
      </c>
      <c r="AQ16" s="136">
        <v>21</v>
      </c>
      <c r="AR16" s="136">
        <v>28</v>
      </c>
      <c r="AS16" s="135" t="s">
        <v>433</v>
      </c>
      <c r="AT16" s="136">
        <v>12</v>
      </c>
      <c r="AU16" s="136">
        <v>19</v>
      </c>
      <c r="AV16" s="136">
        <v>26</v>
      </c>
      <c r="AW16" s="135" t="s">
        <v>434</v>
      </c>
      <c r="AX16" s="136">
        <v>9</v>
      </c>
      <c r="AY16" s="136">
        <v>16</v>
      </c>
      <c r="AZ16" s="136">
        <v>23</v>
      </c>
      <c r="BA16" s="137">
        <v>31</v>
      </c>
      <c r="BB16" s="524"/>
      <c r="BC16" s="527"/>
      <c r="BD16" s="527"/>
      <c r="BE16" s="527"/>
      <c r="BF16" s="527"/>
      <c r="BG16" s="527"/>
      <c r="BH16" s="521"/>
    </row>
    <row r="17" spans="1:60" ht="18" customHeight="1" thickTop="1">
      <c r="A17" s="40" t="s">
        <v>16</v>
      </c>
      <c r="B17" s="138"/>
      <c r="C17" s="139">
        <v>19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>
        <v>0</v>
      </c>
      <c r="O17" s="139"/>
      <c r="P17" s="139"/>
      <c r="Q17" s="139"/>
      <c r="R17" s="139"/>
      <c r="S17" s="139"/>
      <c r="T17" s="141"/>
      <c r="U17" s="142" t="s">
        <v>8</v>
      </c>
      <c r="V17" s="142" t="s">
        <v>8</v>
      </c>
      <c r="W17" s="143" t="s">
        <v>9</v>
      </c>
      <c r="X17" s="143" t="s">
        <v>9</v>
      </c>
      <c r="Y17" s="144"/>
      <c r="Z17" s="139">
        <v>18</v>
      </c>
      <c r="AA17" s="139"/>
      <c r="AB17" s="144"/>
      <c r="AC17" s="139"/>
      <c r="AD17" s="139"/>
      <c r="AE17" s="144"/>
      <c r="AF17" s="139"/>
      <c r="AG17" s="139"/>
      <c r="AH17" s="144"/>
      <c r="AI17" s="139"/>
      <c r="AJ17" s="139"/>
      <c r="AK17" s="145"/>
      <c r="AL17" s="144"/>
      <c r="AM17" s="144"/>
      <c r="AO17" s="144"/>
      <c r="AP17" s="142"/>
      <c r="AQ17" s="142" t="s">
        <v>8</v>
      </c>
      <c r="AR17" s="142" t="s">
        <v>8</v>
      </c>
      <c r="AS17" s="143" t="s">
        <v>9</v>
      </c>
      <c r="AT17" s="143" t="s">
        <v>9</v>
      </c>
      <c r="AU17" s="143" t="s">
        <v>9</v>
      </c>
      <c r="AV17" s="143" t="s">
        <v>9</v>
      </c>
      <c r="AW17" s="143" t="s">
        <v>9</v>
      </c>
      <c r="AX17" s="143" t="s">
        <v>9</v>
      </c>
      <c r="AY17" s="143" t="s">
        <v>9</v>
      </c>
      <c r="AZ17" s="143" t="s">
        <v>9</v>
      </c>
      <c r="BA17" s="146" t="s">
        <v>9</v>
      </c>
      <c r="BB17" s="15">
        <f aca="true" t="shared" si="0" ref="BB17:BB22">SUM(C17,Z17)</f>
        <v>37</v>
      </c>
      <c r="BC17" s="16">
        <f aca="true" t="shared" si="1" ref="BC17:BC22">COUNTIF(B17:BA17,$G$26)</f>
        <v>4</v>
      </c>
      <c r="BD17" s="16">
        <f>COUNTIF(B17:BA17,S24)</f>
        <v>1</v>
      </c>
      <c r="BE17" s="16"/>
      <c r="BF17" s="16"/>
      <c r="BG17" s="16">
        <f aca="true" t="shared" si="2" ref="BG17:BG22">COUNTIF(B17:BA17,$BA$18)</f>
        <v>11</v>
      </c>
      <c r="BH17" s="44" t="s">
        <v>413</v>
      </c>
    </row>
    <row r="18" spans="1:60" ht="18" customHeight="1">
      <c r="A18" s="41" t="s">
        <v>17</v>
      </c>
      <c r="B18" s="147"/>
      <c r="C18" s="148">
        <v>19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1"/>
      <c r="P18" s="148"/>
      <c r="Q18" s="148"/>
      <c r="R18" s="148"/>
      <c r="S18" s="148"/>
      <c r="T18" s="149"/>
      <c r="U18" s="149" t="s">
        <v>8</v>
      </c>
      <c r="V18" s="149" t="s">
        <v>8</v>
      </c>
      <c r="W18" s="150" t="s">
        <v>9</v>
      </c>
      <c r="X18" s="150" t="s">
        <v>9</v>
      </c>
      <c r="Y18" s="151"/>
      <c r="Z18" s="148">
        <v>18</v>
      </c>
      <c r="AA18" s="148"/>
      <c r="AB18" s="151"/>
      <c r="AC18" s="148"/>
      <c r="AD18" s="141"/>
      <c r="AE18" s="151"/>
      <c r="AF18" s="148"/>
      <c r="AG18" s="148"/>
      <c r="AH18" s="151"/>
      <c r="AI18" s="152"/>
      <c r="AJ18" s="141">
        <v>0</v>
      </c>
      <c r="AK18" s="141">
        <v>0</v>
      </c>
      <c r="AL18" s="148"/>
      <c r="AM18" s="148"/>
      <c r="AN18" s="151"/>
      <c r="AO18" s="151"/>
      <c r="AP18" s="149"/>
      <c r="AQ18" s="149" t="s">
        <v>8</v>
      </c>
      <c r="AR18" s="153" t="s">
        <v>8</v>
      </c>
      <c r="AS18" s="153" t="s">
        <v>8</v>
      </c>
      <c r="AT18" s="150" t="s">
        <v>9</v>
      </c>
      <c r="AU18" s="150" t="s">
        <v>9</v>
      </c>
      <c r="AV18" s="150" t="s">
        <v>9</v>
      </c>
      <c r="AW18" s="150" t="s">
        <v>9</v>
      </c>
      <c r="AX18" s="150" t="s">
        <v>9</v>
      </c>
      <c r="AY18" s="150" t="s">
        <v>9</v>
      </c>
      <c r="AZ18" s="150" t="s">
        <v>9</v>
      </c>
      <c r="BA18" s="154" t="s">
        <v>9</v>
      </c>
      <c r="BB18" s="17">
        <f t="shared" si="0"/>
        <v>37</v>
      </c>
      <c r="BC18" s="16">
        <f t="shared" si="1"/>
        <v>5</v>
      </c>
      <c r="BD18" s="16">
        <f>COUNTIF(B18:BA18,S25)</f>
        <v>2</v>
      </c>
      <c r="BE18" s="18"/>
      <c r="BF18" s="18"/>
      <c r="BG18" s="16">
        <f t="shared" si="2"/>
        <v>10</v>
      </c>
      <c r="BH18" s="44" t="s">
        <v>413</v>
      </c>
    </row>
    <row r="19" spans="1:60" ht="18" customHeight="1">
      <c r="A19" s="41" t="s">
        <v>18</v>
      </c>
      <c r="B19" s="147"/>
      <c r="C19" s="148">
        <v>19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1"/>
      <c r="P19" s="141"/>
      <c r="Q19" s="148"/>
      <c r="R19" s="148"/>
      <c r="S19" s="148"/>
      <c r="T19" s="149"/>
      <c r="U19" s="149" t="s">
        <v>8</v>
      </c>
      <c r="V19" s="149" t="s">
        <v>8</v>
      </c>
      <c r="W19" s="150" t="s">
        <v>9</v>
      </c>
      <c r="X19" s="150" t="s">
        <v>9</v>
      </c>
      <c r="Y19" s="151"/>
      <c r="Z19" s="148">
        <v>16</v>
      </c>
      <c r="AA19" s="148"/>
      <c r="AB19" s="151"/>
      <c r="AC19" s="141"/>
      <c r="AD19" s="148"/>
      <c r="AE19" s="151"/>
      <c r="AF19" s="141"/>
      <c r="AG19" s="148"/>
      <c r="AH19" s="151"/>
      <c r="AI19" s="148"/>
      <c r="AJ19" s="148"/>
      <c r="AK19" s="155"/>
      <c r="AL19" s="141"/>
      <c r="AM19" s="151"/>
      <c r="AN19" s="156"/>
      <c r="AO19" s="149" t="s">
        <v>8</v>
      </c>
      <c r="AP19" s="149" t="s">
        <v>8</v>
      </c>
      <c r="AQ19" s="149" t="s">
        <v>8</v>
      </c>
      <c r="AR19" s="149" t="s">
        <v>8</v>
      </c>
      <c r="AS19" s="157" t="s">
        <v>10</v>
      </c>
      <c r="AT19" s="157" t="s">
        <v>10</v>
      </c>
      <c r="AU19" s="157" t="s">
        <v>10</v>
      </c>
      <c r="AV19" s="157" t="s">
        <v>10</v>
      </c>
      <c r="AW19" s="150" t="s">
        <v>9</v>
      </c>
      <c r="AX19" s="150" t="s">
        <v>9</v>
      </c>
      <c r="AY19" s="150" t="s">
        <v>9</v>
      </c>
      <c r="AZ19" s="150" t="s">
        <v>9</v>
      </c>
      <c r="BA19" s="154" t="s">
        <v>9</v>
      </c>
      <c r="BB19" s="17">
        <f t="shared" si="0"/>
        <v>35</v>
      </c>
      <c r="BC19" s="16">
        <f t="shared" si="1"/>
        <v>6</v>
      </c>
      <c r="BD19" s="38"/>
      <c r="BE19" s="18">
        <f>COUNTIF(B19:BA19,$S$26)</f>
        <v>4</v>
      </c>
      <c r="BF19" s="18"/>
      <c r="BG19" s="16">
        <f t="shared" si="2"/>
        <v>7</v>
      </c>
      <c r="BH19" s="19">
        <f>SUM(BB19:BG19)</f>
        <v>52</v>
      </c>
    </row>
    <row r="20" spans="1:60" ht="18" customHeight="1">
      <c r="A20" s="41" t="s">
        <v>19</v>
      </c>
      <c r="B20" s="147"/>
      <c r="C20" s="148">
        <v>19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58"/>
      <c r="U20" s="149" t="s">
        <v>8</v>
      </c>
      <c r="V20" s="150" t="s">
        <v>9</v>
      </c>
      <c r="W20" s="150" t="s">
        <v>9</v>
      </c>
      <c r="X20" s="150"/>
      <c r="Y20" s="151"/>
      <c r="Z20" s="148">
        <v>18</v>
      </c>
      <c r="AA20" s="148"/>
      <c r="AB20" s="151"/>
      <c r="AC20" s="148"/>
      <c r="AD20" s="148"/>
      <c r="AE20" s="151"/>
      <c r="AF20" s="148"/>
      <c r="AG20" s="148"/>
      <c r="AH20" s="151"/>
      <c r="AI20" s="148"/>
      <c r="AJ20" s="148"/>
      <c r="AK20" s="155"/>
      <c r="AL20" s="151"/>
      <c r="AM20" s="151"/>
      <c r="AN20" s="156"/>
      <c r="AO20" s="149"/>
      <c r="AP20" s="149" t="s">
        <v>8</v>
      </c>
      <c r="AQ20" s="149" t="s">
        <v>8</v>
      </c>
      <c r="AR20" s="149" t="s">
        <v>8</v>
      </c>
      <c r="AS20" s="157" t="s">
        <v>10</v>
      </c>
      <c r="AT20" s="157" t="s">
        <v>10</v>
      </c>
      <c r="AU20" s="157" t="s">
        <v>10</v>
      </c>
      <c r="AV20" s="157" t="s">
        <v>10</v>
      </c>
      <c r="AW20" s="150" t="s">
        <v>9</v>
      </c>
      <c r="AX20" s="150" t="s">
        <v>9</v>
      </c>
      <c r="AY20" s="150" t="s">
        <v>9</v>
      </c>
      <c r="AZ20" s="150" t="s">
        <v>9</v>
      </c>
      <c r="BA20" s="154" t="s">
        <v>9</v>
      </c>
      <c r="BB20" s="17">
        <f t="shared" si="0"/>
        <v>37</v>
      </c>
      <c r="BC20" s="16">
        <f t="shared" si="1"/>
        <v>4</v>
      </c>
      <c r="BD20" s="38"/>
      <c r="BE20" s="18">
        <f>COUNTIF(B20:BA20,$S$26)</f>
        <v>4</v>
      </c>
      <c r="BF20" s="18"/>
      <c r="BG20" s="16">
        <f t="shared" si="2"/>
        <v>7</v>
      </c>
      <c r="BH20" s="19">
        <f>SUM(BB20:BG20)</f>
        <v>52</v>
      </c>
    </row>
    <row r="21" spans="1:60" ht="18" customHeight="1">
      <c r="A21" s="41" t="s">
        <v>20</v>
      </c>
      <c r="B21" s="147"/>
      <c r="C21" s="148">
        <v>17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 t="s">
        <v>8</v>
      </c>
      <c r="T21" s="149" t="s">
        <v>8</v>
      </c>
      <c r="U21" s="149" t="s">
        <v>8</v>
      </c>
      <c r="V21" s="149" t="s">
        <v>8</v>
      </c>
      <c r="W21" s="150" t="s">
        <v>9</v>
      </c>
      <c r="X21" s="150" t="s">
        <v>9</v>
      </c>
      <c r="Y21" s="151"/>
      <c r="Z21" s="148">
        <v>14</v>
      </c>
      <c r="AA21" s="148"/>
      <c r="AB21" s="151"/>
      <c r="AC21" s="148"/>
      <c r="AD21" s="148"/>
      <c r="AE21" s="151"/>
      <c r="AF21" s="148"/>
      <c r="AG21" s="148"/>
      <c r="AH21" s="151"/>
      <c r="AI21" s="148"/>
      <c r="AJ21" s="148"/>
      <c r="AK21" s="155"/>
      <c r="AL21" s="149"/>
      <c r="AM21" s="149" t="s">
        <v>8</v>
      </c>
      <c r="AN21" s="149" t="s">
        <v>8</v>
      </c>
      <c r="AO21" s="149" t="s">
        <v>8</v>
      </c>
      <c r="AP21" s="157" t="s">
        <v>10</v>
      </c>
      <c r="AQ21" s="157" t="s">
        <v>10</v>
      </c>
      <c r="AR21" s="157" t="s">
        <v>10</v>
      </c>
      <c r="AS21" s="157" t="s">
        <v>10</v>
      </c>
      <c r="AT21" s="157" t="s">
        <v>10</v>
      </c>
      <c r="AU21" s="157" t="s">
        <v>10</v>
      </c>
      <c r="AV21" s="157" t="s">
        <v>10</v>
      </c>
      <c r="AW21" s="157" t="s">
        <v>10</v>
      </c>
      <c r="AX21" s="150" t="s">
        <v>9</v>
      </c>
      <c r="AY21" s="150" t="s">
        <v>9</v>
      </c>
      <c r="AZ21" s="150" t="s">
        <v>9</v>
      </c>
      <c r="BA21" s="154" t="s">
        <v>9</v>
      </c>
      <c r="BB21" s="17">
        <f t="shared" si="0"/>
        <v>31</v>
      </c>
      <c r="BC21" s="16">
        <f t="shared" si="1"/>
        <v>7</v>
      </c>
      <c r="BD21" s="38"/>
      <c r="BE21" s="18">
        <f>COUNTIF(B21:BA21,$S$26)</f>
        <v>8</v>
      </c>
      <c r="BF21" s="18"/>
      <c r="BG21" s="16">
        <f t="shared" si="2"/>
        <v>6</v>
      </c>
      <c r="BH21" s="19">
        <f>SUM(BB21:BG21)</f>
        <v>52</v>
      </c>
    </row>
    <row r="22" spans="1:60" ht="18" customHeight="1" thickBot="1">
      <c r="A22" s="42" t="s">
        <v>21</v>
      </c>
      <c r="B22" s="159"/>
      <c r="C22" s="160">
        <v>20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161"/>
      <c r="V22" s="162" t="s">
        <v>8</v>
      </c>
      <c r="W22" s="163" t="s">
        <v>9</v>
      </c>
      <c r="X22" s="163" t="s">
        <v>9</v>
      </c>
      <c r="Y22" s="164"/>
      <c r="Z22" s="160">
        <v>17</v>
      </c>
      <c r="AA22" s="160"/>
      <c r="AB22" s="164"/>
      <c r="AC22" s="160"/>
      <c r="AD22" s="160"/>
      <c r="AE22" s="164"/>
      <c r="AF22" s="160"/>
      <c r="AG22" s="160"/>
      <c r="AH22" s="164"/>
      <c r="AI22" s="160"/>
      <c r="AJ22" s="160"/>
      <c r="AK22" s="165"/>
      <c r="AL22" s="164"/>
      <c r="AM22" s="164"/>
      <c r="AN22" s="163"/>
      <c r="AO22" s="162"/>
      <c r="AP22" s="162" t="s">
        <v>11</v>
      </c>
      <c r="AQ22" s="162" t="s">
        <v>11</v>
      </c>
      <c r="AR22" s="162" t="s">
        <v>11</v>
      </c>
      <c r="AS22" s="162"/>
      <c r="AT22" s="163"/>
      <c r="AU22" s="163"/>
      <c r="AV22" s="163"/>
      <c r="AW22" s="163"/>
      <c r="AX22" s="164"/>
      <c r="AY22" s="164"/>
      <c r="AZ22" s="164"/>
      <c r="BA22" s="166"/>
      <c r="BB22" s="20">
        <f t="shared" si="0"/>
        <v>37</v>
      </c>
      <c r="BC22" s="16">
        <f t="shared" si="1"/>
        <v>1</v>
      </c>
      <c r="BD22" s="39"/>
      <c r="BE22" s="18">
        <f>COUNTIF(B22:BA22,$S$26)</f>
        <v>0</v>
      </c>
      <c r="BF22" s="21">
        <f>COUNTIF(B22:BA22,AF26)</f>
        <v>3</v>
      </c>
      <c r="BG22" s="16">
        <f t="shared" si="2"/>
        <v>2</v>
      </c>
      <c r="BH22" s="22">
        <f>SUM(BB22:BG22)</f>
        <v>43</v>
      </c>
    </row>
    <row r="23" spans="1:60" ht="16.5" thickBot="1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23">
        <f aca="true" t="shared" si="3" ref="BB23:BG23">SUM(BB17:BB22)</f>
        <v>214</v>
      </c>
      <c r="BC23" s="23">
        <f t="shared" si="3"/>
        <v>27</v>
      </c>
      <c r="BD23" s="23">
        <f t="shared" si="3"/>
        <v>3</v>
      </c>
      <c r="BE23" s="23">
        <f t="shared" si="3"/>
        <v>16</v>
      </c>
      <c r="BF23" s="23">
        <f t="shared" si="3"/>
        <v>3</v>
      </c>
      <c r="BG23" s="23">
        <f t="shared" si="3"/>
        <v>43</v>
      </c>
      <c r="BH23" s="24">
        <v>303</v>
      </c>
    </row>
    <row r="24" spans="1:59" ht="17.25" customHeight="1" thickTop="1">
      <c r="A24" s="86"/>
      <c r="B24" s="86" t="s">
        <v>12</v>
      </c>
      <c r="C24" s="86"/>
      <c r="D24" s="86"/>
      <c r="E24" s="86"/>
      <c r="F24" s="86"/>
      <c r="G24" s="87"/>
      <c r="H24" s="86" t="s">
        <v>37</v>
      </c>
      <c r="I24" s="86" t="s">
        <v>13</v>
      </c>
      <c r="J24" s="86"/>
      <c r="K24" s="86"/>
      <c r="L24" s="86"/>
      <c r="M24" s="86"/>
      <c r="N24" s="86"/>
      <c r="O24" s="86"/>
      <c r="P24" s="88"/>
      <c r="Q24" s="86"/>
      <c r="R24" s="86"/>
      <c r="S24" s="89">
        <v>0</v>
      </c>
      <c r="T24" s="86" t="s">
        <v>37</v>
      </c>
      <c r="U24" s="86" t="s">
        <v>36</v>
      </c>
      <c r="V24" s="86"/>
      <c r="W24" s="86"/>
      <c r="X24" s="86"/>
      <c r="Y24" s="86"/>
      <c r="Z24" s="88"/>
      <c r="AA24" s="86"/>
      <c r="AB24" s="86"/>
      <c r="AC24" s="86"/>
      <c r="AD24" s="86"/>
      <c r="AE24" s="86"/>
      <c r="AF24" s="89" t="s">
        <v>128</v>
      </c>
      <c r="AG24" s="86" t="s">
        <v>37</v>
      </c>
      <c r="AH24" s="86" t="s">
        <v>15</v>
      </c>
      <c r="AI24" s="86"/>
      <c r="AJ24" s="88"/>
      <c r="AK24" s="86"/>
      <c r="AL24" s="86"/>
      <c r="AM24" s="86"/>
      <c r="AN24" s="86"/>
      <c r="AO24" s="86"/>
      <c r="AQ24" s="169"/>
      <c r="AR24" s="170"/>
      <c r="AS24" s="5"/>
      <c r="AT24" s="5"/>
      <c r="AU24" s="5"/>
      <c r="AV24" s="171"/>
      <c r="AW24" s="171"/>
      <c r="AX24" s="171"/>
      <c r="AY24" s="171"/>
      <c r="AZ24" s="171"/>
      <c r="BB24" s="171"/>
      <c r="BC24" s="171"/>
      <c r="BD24" s="171"/>
      <c r="BE24" s="171"/>
      <c r="BF24" s="171"/>
      <c r="BG24" s="171"/>
    </row>
    <row r="25" spans="1:60" ht="6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8"/>
      <c r="AK25" s="86"/>
      <c r="AL25" s="86"/>
      <c r="AM25" s="86"/>
      <c r="AN25" s="86"/>
      <c r="AO25" s="86"/>
      <c r="AQ25" s="169"/>
      <c r="AR25" s="170"/>
      <c r="AS25" s="170"/>
      <c r="AT25" s="171"/>
      <c r="AU25" s="171"/>
      <c r="AV25" s="171"/>
      <c r="AW25" s="3"/>
      <c r="AX25" s="3"/>
      <c r="AY25" s="3"/>
      <c r="AZ25" s="3"/>
      <c r="BA25" s="3"/>
      <c r="BB25" s="171"/>
      <c r="BC25" s="171"/>
      <c r="BD25" s="171"/>
      <c r="BE25" s="171"/>
      <c r="BF25" s="171"/>
      <c r="BG25" s="171"/>
      <c r="BH25" s="171"/>
    </row>
    <row r="26" spans="1:60" ht="15.75">
      <c r="A26" s="86"/>
      <c r="B26" s="86"/>
      <c r="C26" s="86"/>
      <c r="D26" s="86"/>
      <c r="E26" s="86"/>
      <c r="F26" s="86"/>
      <c r="G26" s="90" t="s">
        <v>8</v>
      </c>
      <c r="H26" s="86" t="s">
        <v>37</v>
      </c>
      <c r="I26" s="86" t="s">
        <v>14</v>
      </c>
      <c r="J26" s="86"/>
      <c r="K26" s="86"/>
      <c r="L26" s="86"/>
      <c r="M26" s="86"/>
      <c r="N26" s="86"/>
      <c r="O26" s="86"/>
      <c r="P26" s="88"/>
      <c r="Q26" s="86"/>
      <c r="R26" s="86"/>
      <c r="S26" s="91" t="s">
        <v>10</v>
      </c>
      <c r="T26" s="86" t="s">
        <v>37</v>
      </c>
      <c r="U26" s="86" t="s">
        <v>122</v>
      </c>
      <c r="V26" s="86"/>
      <c r="W26" s="86"/>
      <c r="X26" s="86"/>
      <c r="Y26" s="86"/>
      <c r="Z26" s="88"/>
      <c r="AA26" s="86"/>
      <c r="AB26" s="86"/>
      <c r="AC26" s="86"/>
      <c r="AD26" s="86"/>
      <c r="AE26" s="86"/>
      <c r="AF26" s="89" t="s">
        <v>11</v>
      </c>
      <c r="AG26" s="86" t="s">
        <v>37</v>
      </c>
      <c r="AH26" s="86" t="s">
        <v>123</v>
      </c>
      <c r="AI26" s="86"/>
      <c r="AJ26" s="88"/>
      <c r="AK26" s="86"/>
      <c r="AL26" s="86"/>
      <c r="AM26" s="86"/>
      <c r="AN26" s="86"/>
      <c r="AO26" s="86"/>
      <c r="AS26" s="170"/>
      <c r="AT26" s="171"/>
      <c r="AU26" s="171"/>
      <c r="AV26" s="171"/>
      <c r="BB26" s="171"/>
      <c r="BC26" s="171"/>
      <c r="BD26" s="171"/>
      <c r="BE26" s="171"/>
      <c r="BF26" s="171"/>
      <c r="BG26" s="171"/>
      <c r="BH26" s="171"/>
    </row>
    <row r="27" ht="7.5" customHeight="1"/>
  </sheetData>
  <sheetProtection/>
  <mergeCells count="24">
    <mergeCell ref="A13:A16"/>
    <mergeCell ref="B13:E13"/>
    <mergeCell ref="G13:I13"/>
    <mergeCell ref="K13:N13"/>
    <mergeCell ref="O13:R13"/>
    <mergeCell ref="AB13:AE13"/>
    <mergeCell ref="AX13:BA13"/>
    <mergeCell ref="T13:V13"/>
    <mergeCell ref="X5:AQ5"/>
    <mergeCell ref="Y6:AP6"/>
    <mergeCell ref="AO13:AR13"/>
    <mergeCell ref="AT13:AV13"/>
    <mergeCell ref="AG13:AI13"/>
    <mergeCell ref="AK13:AN13"/>
    <mergeCell ref="U1:AT1"/>
    <mergeCell ref="U3:AT3"/>
    <mergeCell ref="BH13:BH16"/>
    <mergeCell ref="BB13:BB16"/>
    <mergeCell ref="BC13:BC16"/>
    <mergeCell ref="BD13:BD16"/>
    <mergeCell ref="BE13:BE16"/>
    <mergeCell ref="BF13:BF16"/>
    <mergeCell ref="BG13:BG16"/>
    <mergeCell ref="X13:Z13"/>
  </mergeCells>
  <conditionalFormatting sqref="BB17:BH23">
    <cfRule type="cellIs" priority="1" dxfId="176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89" r:id="rId1"/>
  <ignoredErrors>
    <ignoredError sqref="B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C151"/>
  <sheetViews>
    <sheetView zoomScale="50" zoomScaleNormal="50" zoomScaleSheetLayoutView="50" zoomScalePageLayoutView="0" workbookViewId="0" topLeftCell="A1">
      <pane xSplit="5" ySplit="9" topLeftCell="F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1" sqref="C11"/>
    </sheetView>
  </sheetViews>
  <sheetFormatPr defaultColWidth="9.140625" defaultRowHeight="12.75" outlineLevelRow="1" outlineLevelCol="1"/>
  <cols>
    <col min="1" max="1" width="4.8515625" style="6" customWidth="1"/>
    <col min="2" max="2" width="13.00390625" style="68" bestFit="1" customWidth="1"/>
    <col min="3" max="3" width="34.28125" style="6" customWidth="1"/>
    <col min="4" max="4" width="6.57421875" style="6" customWidth="1"/>
    <col min="5" max="5" width="10.140625" style="6" customWidth="1"/>
    <col min="6" max="6" width="8.7109375" style="6" customWidth="1"/>
    <col min="7" max="7" width="8.140625" style="6" customWidth="1"/>
    <col min="8" max="8" width="8.57421875" style="6" bestFit="1" customWidth="1"/>
    <col min="9" max="9" width="7.421875" style="6" customWidth="1"/>
    <col min="10" max="10" width="8.7109375" style="6" customWidth="1"/>
    <col min="11" max="11" width="6.421875" style="6" customWidth="1"/>
    <col min="12" max="12" width="7.8515625" style="6" bestFit="1" customWidth="1"/>
    <col min="13" max="13" width="6.140625" style="6" bestFit="1" customWidth="1"/>
    <col min="14" max="14" width="6.57421875" style="56" hidden="1" customWidth="1" outlineLevel="1"/>
    <col min="15" max="15" width="9.140625" style="56" hidden="1" customWidth="1" outlineLevel="1"/>
    <col min="16" max="16" width="5.421875" style="81" customWidth="1" collapsed="1"/>
    <col min="17" max="17" width="7.57421875" style="6" bestFit="1" customWidth="1"/>
    <col min="18" max="18" width="7.00390625" style="6" bestFit="1" customWidth="1"/>
    <col min="19" max="19" width="6.57421875" style="56" hidden="1" customWidth="1" outlineLevel="1"/>
    <col min="20" max="20" width="7.140625" style="56" hidden="1" customWidth="1" outlineLevel="1"/>
    <col min="21" max="21" width="5.28125" style="81" bestFit="1" customWidth="1" collapsed="1"/>
    <col min="22" max="22" width="7.8515625" style="6" bestFit="1" customWidth="1"/>
    <col min="23" max="23" width="7.00390625" style="6" customWidth="1"/>
    <col min="24" max="24" width="9.00390625" style="56" hidden="1" customWidth="1" outlineLevel="1"/>
    <col min="25" max="25" width="7.421875" style="56" hidden="1" customWidth="1" outlineLevel="1"/>
    <col min="26" max="26" width="5.28125" style="81" bestFit="1" customWidth="1" collapsed="1"/>
    <col min="27" max="27" width="7.57421875" style="6" bestFit="1" customWidth="1"/>
    <col min="28" max="28" width="6.8515625" style="6" bestFit="1" customWidth="1"/>
    <col min="29" max="29" width="6.8515625" style="56" hidden="1" customWidth="1" outlineLevel="1"/>
    <col min="30" max="30" width="8.00390625" style="56" hidden="1" customWidth="1" outlineLevel="1"/>
    <col min="31" max="31" width="5.28125" style="81" bestFit="1" customWidth="1" collapsed="1"/>
    <col min="32" max="32" width="7.8515625" style="6" bestFit="1" customWidth="1"/>
    <col min="33" max="33" width="6.8515625" style="6" bestFit="1" customWidth="1"/>
    <col min="34" max="34" width="8.140625" style="56" hidden="1" customWidth="1" outlineLevel="1"/>
    <col min="35" max="35" width="9.28125" style="56" hidden="1" customWidth="1" outlineLevel="1"/>
    <col min="36" max="36" width="5.28125" style="81" bestFit="1" customWidth="1" collapsed="1"/>
    <col min="37" max="37" width="7.57421875" style="6" bestFit="1" customWidth="1"/>
    <col min="38" max="38" width="6.8515625" style="6" bestFit="1" customWidth="1"/>
    <col min="39" max="39" width="7.140625" style="56" hidden="1" customWidth="1" outlineLevel="1"/>
    <col min="40" max="40" width="6.421875" style="56" hidden="1" customWidth="1" outlineLevel="1"/>
    <col min="41" max="41" width="5.421875" style="81" customWidth="1" collapsed="1"/>
    <col min="42" max="42" width="7.8515625" style="6" bestFit="1" customWidth="1"/>
    <col min="43" max="43" width="6.8515625" style="6" bestFit="1" customWidth="1"/>
    <col min="44" max="44" width="6.28125" style="56" hidden="1" customWidth="1" outlineLevel="1"/>
    <col min="45" max="45" width="7.28125" style="56" hidden="1" customWidth="1" outlineLevel="1"/>
    <col min="46" max="46" width="5.140625" style="81" bestFit="1" customWidth="1" collapsed="1"/>
    <col min="47" max="47" width="7.57421875" style="6" bestFit="1" customWidth="1"/>
    <col min="48" max="48" width="7.00390625" style="6" bestFit="1" customWidth="1"/>
    <col min="49" max="49" width="7.57421875" style="56" hidden="1" customWidth="1" outlineLevel="1"/>
    <col min="50" max="50" width="7.140625" style="56" hidden="1" customWidth="1" outlineLevel="1"/>
    <col min="51" max="51" width="5.00390625" style="81" bestFit="1" customWidth="1" collapsed="1"/>
    <col min="52" max="52" width="7.8515625" style="6" customWidth="1"/>
    <col min="53" max="53" width="7.28125" style="6" bestFit="1" customWidth="1"/>
    <col min="54" max="54" width="6.8515625" style="56" hidden="1" customWidth="1" outlineLevel="1"/>
    <col min="55" max="55" width="9.28125" style="56" hidden="1" customWidth="1" outlineLevel="1"/>
    <col min="56" max="56" width="5.28125" style="81" bestFit="1" customWidth="1" collapsed="1"/>
    <col min="57" max="57" width="7.00390625" style="6" customWidth="1"/>
    <col min="58" max="58" width="6.421875" style="6" customWidth="1"/>
    <col min="59" max="59" width="6.57421875" style="56" hidden="1" customWidth="1" outlineLevel="1"/>
    <col min="60" max="60" width="7.28125" style="56" hidden="1" customWidth="1" outlineLevel="1"/>
    <col min="61" max="61" width="5.7109375" style="81" customWidth="1" collapsed="1"/>
    <col min="62" max="62" width="7.57421875" style="6" bestFit="1" customWidth="1"/>
    <col min="63" max="63" width="7.00390625" style="6" customWidth="1"/>
    <col min="64" max="64" width="6.7109375" style="56" hidden="1" customWidth="1" outlineLevel="1"/>
    <col min="65" max="65" width="0.85546875" style="56" hidden="1" customWidth="1" outlineLevel="1"/>
    <col min="66" max="66" width="4.8515625" style="81" bestFit="1" customWidth="1" collapsed="1"/>
    <col min="67" max="67" width="7.00390625" style="6" bestFit="1" customWidth="1"/>
    <col min="68" max="68" width="7.28125" style="6" customWidth="1"/>
    <col min="69" max="69" width="6.140625" style="56" hidden="1" customWidth="1" outlineLevel="1"/>
    <col min="70" max="70" width="8.140625" style="56" hidden="1" customWidth="1" outlineLevel="1"/>
    <col min="71" max="71" width="5.00390625" style="81" bestFit="1" customWidth="1" collapsed="1"/>
    <col min="72" max="72" width="6.8515625" style="84" customWidth="1"/>
    <col min="73" max="73" width="15.57421875" style="210" customWidth="1"/>
    <col min="74" max="74" width="6.28125" style="45" hidden="1" customWidth="1"/>
    <col min="75" max="75" width="8.7109375" style="48" customWidth="1"/>
    <col min="76" max="76" width="11.421875" style="48" hidden="1" customWidth="1" outlineLevel="1"/>
    <col min="77" max="77" width="6.00390625" style="48" hidden="1" customWidth="1" outlineLevel="1"/>
    <col min="78" max="78" width="8.00390625" style="6" customWidth="1" collapsed="1"/>
    <col min="79" max="90" width="8.00390625" style="6" customWidth="1"/>
    <col min="91" max="16384" width="9.140625" style="6" customWidth="1"/>
  </cols>
  <sheetData>
    <row r="1" ht="18.75"/>
    <row r="2" spans="1:77" s="103" customFormat="1" ht="18.75" customHeight="1">
      <c r="A2" s="100"/>
      <c r="B2" s="537" t="s">
        <v>564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  <c r="BP2" s="537"/>
      <c r="BQ2" s="537"/>
      <c r="BR2" s="537"/>
      <c r="BS2" s="537"/>
      <c r="BT2" s="537"/>
      <c r="BU2" s="537"/>
      <c r="BV2" s="101"/>
      <c r="BW2" s="102"/>
      <c r="BX2" s="102"/>
      <c r="BY2" s="102"/>
    </row>
    <row r="3" spans="2:77" s="57" customFormat="1" ht="20.25" hidden="1">
      <c r="B3" s="104"/>
      <c r="F3" s="57">
        <f>(F10/F129)*100</f>
        <v>44.05871196503669</v>
      </c>
      <c r="G3" s="57">
        <f>(G10/G129)*100</f>
        <v>44.55864570737606</v>
      </c>
      <c r="J3" s="105" t="s">
        <v>208</v>
      </c>
      <c r="L3" s="61">
        <f>P129+U129+практика!E4</f>
        <v>60</v>
      </c>
      <c r="M3" s="61"/>
      <c r="N3" s="61"/>
      <c r="O3" s="61"/>
      <c r="P3" s="50"/>
      <c r="Q3" s="61"/>
      <c r="R3" s="61"/>
      <c r="S3" s="61"/>
      <c r="T3" s="61"/>
      <c r="U3" s="50"/>
      <c r="V3" s="61">
        <f>Z129+AE129+практика!E5</f>
        <v>60</v>
      </c>
      <c r="W3" s="61"/>
      <c r="X3" s="61"/>
      <c r="Y3" s="61"/>
      <c r="Z3" s="50"/>
      <c r="AA3" s="61"/>
      <c r="AB3" s="61"/>
      <c r="AC3" s="61"/>
      <c r="AD3" s="61"/>
      <c r="AE3" s="50"/>
      <c r="AF3" s="61">
        <f>AJ129+AO129+практика!L3</f>
        <v>60</v>
      </c>
      <c r="AG3" s="61"/>
      <c r="AH3" s="61"/>
      <c r="AI3" s="61"/>
      <c r="AJ3" s="50"/>
      <c r="AK3" s="61"/>
      <c r="AL3" s="61"/>
      <c r="AM3" s="61"/>
      <c r="AN3" s="61"/>
      <c r="AO3" s="50"/>
      <c r="AP3" s="61">
        <f>AT129+AY129+практика!L4</f>
        <v>60</v>
      </c>
      <c r="AQ3" s="61"/>
      <c r="AR3" s="61"/>
      <c r="AS3" s="61"/>
      <c r="AT3" s="50"/>
      <c r="AU3" s="61"/>
      <c r="AV3" s="61"/>
      <c r="AW3" s="61"/>
      <c r="AX3" s="61"/>
      <c r="AY3" s="50"/>
      <c r="AZ3" s="61">
        <f>BD129+BI129+практика!L5</f>
        <v>60</v>
      </c>
      <c r="BA3" s="61"/>
      <c r="BB3" s="61"/>
      <c r="BC3" s="61"/>
      <c r="BD3" s="50"/>
      <c r="BE3" s="61"/>
      <c r="BF3" s="61"/>
      <c r="BG3" s="61"/>
      <c r="BH3" s="61"/>
      <c r="BI3" s="50"/>
      <c r="BJ3" s="62">
        <f>BN129+BS129</f>
        <v>60</v>
      </c>
      <c r="BK3" s="61"/>
      <c r="BL3" s="61"/>
      <c r="BM3" s="61"/>
      <c r="BN3" s="50"/>
      <c r="BO3" s="61"/>
      <c r="BP3" s="61"/>
      <c r="BQ3" s="61"/>
      <c r="BR3" s="61"/>
      <c r="BS3" s="50"/>
      <c r="BT3" s="84">
        <f>SUM(L3:BS3)</f>
        <v>360</v>
      </c>
      <c r="BU3" s="208"/>
      <c r="BV3" s="45">
        <f>SUM(BV5:BV116)+практика!E4+практика!E5+практика!L3+практика!L4+практика!L5</f>
        <v>260</v>
      </c>
      <c r="BW3" s="48"/>
      <c r="BX3" s="48">
        <f>SUM(BX11:BX116)</f>
        <v>10</v>
      </c>
      <c r="BY3" s="48">
        <f>SUM(BY11:BY116)</f>
        <v>5</v>
      </c>
    </row>
    <row r="4" spans="2:73" ht="32.25" customHeight="1" thickBot="1">
      <c r="B4" s="538" t="s">
        <v>38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473"/>
    </row>
    <row r="5" spans="2:77" s="65" customFormat="1" ht="20.25">
      <c r="B5" s="539" t="s">
        <v>39</v>
      </c>
      <c r="C5" s="541" t="s">
        <v>139</v>
      </c>
      <c r="D5" s="543" t="s">
        <v>40</v>
      </c>
      <c r="E5" s="545" t="s">
        <v>41</v>
      </c>
      <c r="F5" s="547" t="s">
        <v>126</v>
      </c>
      <c r="G5" s="548"/>
      <c r="H5" s="548"/>
      <c r="I5" s="548"/>
      <c r="J5" s="548"/>
      <c r="K5" s="541"/>
      <c r="L5" s="549" t="s">
        <v>45</v>
      </c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550"/>
      <c r="BM5" s="550"/>
      <c r="BN5" s="550"/>
      <c r="BO5" s="550"/>
      <c r="BP5" s="550"/>
      <c r="BQ5" s="550"/>
      <c r="BR5" s="550"/>
      <c r="BS5" s="551"/>
      <c r="BT5" s="552" t="s">
        <v>51</v>
      </c>
      <c r="BU5" s="592" t="s">
        <v>209</v>
      </c>
      <c r="BV5" s="63"/>
      <c r="BW5" s="64"/>
      <c r="BX5" s="64"/>
      <c r="BY5" s="64"/>
    </row>
    <row r="6" spans="2:78" ht="18.75">
      <c r="B6" s="540"/>
      <c r="C6" s="542"/>
      <c r="D6" s="544"/>
      <c r="E6" s="546"/>
      <c r="F6" s="554" t="s">
        <v>35</v>
      </c>
      <c r="G6" s="555" t="s">
        <v>42</v>
      </c>
      <c r="H6" s="556" t="s">
        <v>43</v>
      </c>
      <c r="I6" s="557"/>
      <c r="J6" s="557"/>
      <c r="K6" s="558"/>
      <c r="L6" s="559" t="s">
        <v>46</v>
      </c>
      <c r="M6" s="560"/>
      <c r="N6" s="560"/>
      <c r="O6" s="560"/>
      <c r="P6" s="560"/>
      <c r="Q6" s="560"/>
      <c r="R6" s="560"/>
      <c r="S6" s="561"/>
      <c r="T6" s="561"/>
      <c r="U6" s="562"/>
      <c r="V6" s="559" t="s">
        <v>47</v>
      </c>
      <c r="W6" s="560"/>
      <c r="X6" s="560"/>
      <c r="Y6" s="560"/>
      <c r="Z6" s="560"/>
      <c r="AA6" s="560"/>
      <c r="AB6" s="560"/>
      <c r="AC6" s="561"/>
      <c r="AD6" s="561"/>
      <c r="AE6" s="562"/>
      <c r="AF6" s="563" t="s">
        <v>48</v>
      </c>
      <c r="AG6" s="560"/>
      <c r="AH6" s="560"/>
      <c r="AI6" s="560"/>
      <c r="AJ6" s="560"/>
      <c r="AK6" s="560"/>
      <c r="AL6" s="560"/>
      <c r="AM6" s="561"/>
      <c r="AN6" s="561"/>
      <c r="AO6" s="561"/>
      <c r="AP6" s="559" t="s">
        <v>50</v>
      </c>
      <c r="AQ6" s="560"/>
      <c r="AR6" s="560"/>
      <c r="AS6" s="560"/>
      <c r="AT6" s="560"/>
      <c r="AU6" s="560"/>
      <c r="AV6" s="560"/>
      <c r="AW6" s="561"/>
      <c r="AX6" s="561"/>
      <c r="AY6" s="562"/>
      <c r="AZ6" s="563" t="s">
        <v>108</v>
      </c>
      <c r="BA6" s="560"/>
      <c r="BB6" s="560"/>
      <c r="BC6" s="560"/>
      <c r="BD6" s="560"/>
      <c r="BE6" s="560"/>
      <c r="BF6" s="560"/>
      <c r="BG6" s="561"/>
      <c r="BH6" s="561"/>
      <c r="BI6" s="561"/>
      <c r="BJ6" s="559" t="s">
        <v>49</v>
      </c>
      <c r="BK6" s="560"/>
      <c r="BL6" s="560"/>
      <c r="BM6" s="560"/>
      <c r="BN6" s="560"/>
      <c r="BO6" s="560"/>
      <c r="BP6" s="560"/>
      <c r="BQ6" s="561"/>
      <c r="BR6" s="561"/>
      <c r="BS6" s="561"/>
      <c r="BT6" s="553"/>
      <c r="BU6" s="593"/>
      <c r="BZ6" s="65"/>
    </row>
    <row r="7" spans="2:78" ht="42" customHeight="1">
      <c r="B7" s="540"/>
      <c r="C7" s="542"/>
      <c r="D7" s="544"/>
      <c r="E7" s="546"/>
      <c r="F7" s="554"/>
      <c r="G7" s="555"/>
      <c r="H7" s="554" t="s">
        <v>120</v>
      </c>
      <c r="I7" s="564" t="s">
        <v>136</v>
      </c>
      <c r="J7" s="564" t="s">
        <v>137</v>
      </c>
      <c r="K7" s="565" t="s">
        <v>138</v>
      </c>
      <c r="L7" s="559" t="s">
        <v>366</v>
      </c>
      <c r="M7" s="560"/>
      <c r="N7" s="560"/>
      <c r="O7" s="560"/>
      <c r="P7" s="560"/>
      <c r="Q7" s="560" t="s">
        <v>367</v>
      </c>
      <c r="R7" s="560"/>
      <c r="S7" s="561"/>
      <c r="T7" s="561"/>
      <c r="U7" s="562"/>
      <c r="V7" s="559" t="s">
        <v>206</v>
      </c>
      <c r="W7" s="560"/>
      <c r="X7" s="560"/>
      <c r="Y7" s="560"/>
      <c r="Z7" s="560"/>
      <c r="AA7" s="560" t="s">
        <v>508</v>
      </c>
      <c r="AB7" s="560"/>
      <c r="AC7" s="561"/>
      <c r="AD7" s="561"/>
      <c r="AE7" s="562"/>
      <c r="AF7" s="563" t="s">
        <v>225</v>
      </c>
      <c r="AG7" s="560"/>
      <c r="AH7" s="560"/>
      <c r="AI7" s="560"/>
      <c r="AJ7" s="560"/>
      <c r="AK7" s="560" t="s">
        <v>205</v>
      </c>
      <c r="AL7" s="560"/>
      <c r="AM7" s="561"/>
      <c r="AN7" s="561"/>
      <c r="AO7" s="561"/>
      <c r="AP7" s="559" t="s">
        <v>203</v>
      </c>
      <c r="AQ7" s="560"/>
      <c r="AR7" s="560"/>
      <c r="AS7" s="560"/>
      <c r="AT7" s="560"/>
      <c r="AU7" s="560" t="s">
        <v>226</v>
      </c>
      <c r="AV7" s="560"/>
      <c r="AW7" s="561"/>
      <c r="AX7" s="561"/>
      <c r="AY7" s="562"/>
      <c r="AZ7" s="563" t="s">
        <v>227</v>
      </c>
      <c r="BA7" s="560"/>
      <c r="BB7" s="560"/>
      <c r="BC7" s="560"/>
      <c r="BD7" s="560"/>
      <c r="BE7" s="560" t="s">
        <v>228</v>
      </c>
      <c r="BF7" s="560"/>
      <c r="BG7" s="561"/>
      <c r="BH7" s="561"/>
      <c r="BI7" s="561"/>
      <c r="BJ7" s="559" t="s">
        <v>204</v>
      </c>
      <c r="BK7" s="560"/>
      <c r="BL7" s="560"/>
      <c r="BM7" s="560"/>
      <c r="BN7" s="560"/>
      <c r="BO7" s="560" t="s">
        <v>229</v>
      </c>
      <c r="BP7" s="560"/>
      <c r="BQ7" s="561"/>
      <c r="BR7" s="561"/>
      <c r="BS7" s="561"/>
      <c r="BT7" s="553"/>
      <c r="BU7" s="593"/>
      <c r="BZ7" s="65"/>
    </row>
    <row r="8" spans="2:78" ht="20.25" hidden="1" outlineLevel="1">
      <c r="B8" s="540"/>
      <c r="C8" s="542"/>
      <c r="D8" s="544"/>
      <c r="E8" s="546"/>
      <c r="F8" s="554"/>
      <c r="G8" s="555"/>
      <c r="H8" s="554"/>
      <c r="I8" s="564"/>
      <c r="J8" s="564"/>
      <c r="K8" s="565"/>
      <c r="L8" s="566">
        <v>19</v>
      </c>
      <c r="M8" s="567"/>
      <c r="N8" s="567"/>
      <c r="O8" s="567"/>
      <c r="P8" s="563"/>
      <c r="Q8" s="561">
        <v>18</v>
      </c>
      <c r="R8" s="567"/>
      <c r="S8" s="567"/>
      <c r="T8" s="567"/>
      <c r="U8" s="568"/>
      <c r="V8" s="566">
        <v>19</v>
      </c>
      <c r="W8" s="567"/>
      <c r="X8" s="567"/>
      <c r="Y8" s="567"/>
      <c r="Z8" s="563"/>
      <c r="AA8" s="561">
        <v>18</v>
      </c>
      <c r="AB8" s="567"/>
      <c r="AC8" s="567"/>
      <c r="AD8" s="567"/>
      <c r="AE8" s="568"/>
      <c r="AF8" s="566">
        <v>19</v>
      </c>
      <c r="AG8" s="567"/>
      <c r="AH8" s="567"/>
      <c r="AI8" s="567"/>
      <c r="AJ8" s="563"/>
      <c r="AK8" s="561">
        <v>16</v>
      </c>
      <c r="AL8" s="567"/>
      <c r="AM8" s="567"/>
      <c r="AN8" s="567"/>
      <c r="AO8" s="568"/>
      <c r="AP8" s="566">
        <v>19</v>
      </c>
      <c r="AQ8" s="567"/>
      <c r="AR8" s="567"/>
      <c r="AS8" s="567"/>
      <c r="AT8" s="563"/>
      <c r="AU8" s="561">
        <v>18</v>
      </c>
      <c r="AV8" s="567"/>
      <c r="AW8" s="567"/>
      <c r="AX8" s="567"/>
      <c r="AY8" s="568"/>
      <c r="AZ8" s="566">
        <v>17</v>
      </c>
      <c r="BA8" s="567"/>
      <c r="BB8" s="567"/>
      <c r="BC8" s="567"/>
      <c r="BD8" s="563"/>
      <c r="BE8" s="561">
        <v>14</v>
      </c>
      <c r="BF8" s="567"/>
      <c r="BG8" s="567"/>
      <c r="BH8" s="567"/>
      <c r="BI8" s="568"/>
      <c r="BJ8" s="566">
        <v>20</v>
      </c>
      <c r="BK8" s="567"/>
      <c r="BL8" s="567"/>
      <c r="BM8" s="567"/>
      <c r="BN8" s="563"/>
      <c r="BO8" s="561">
        <v>17</v>
      </c>
      <c r="BP8" s="567"/>
      <c r="BQ8" s="567"/>
      <c r="BR8" s="567"/>
      <c r="BS8" s="567"/>
      <c r="BT8" s="553"/>
      <c r="BU8" s="593"/>
      <c r="BZ8" s="65"/>
    </row>
    <row r="9" spans="2:73" ht="114.75" customHeight="1" collapsed="1">
      <c r="B9" s="540"/>
      <c r="C9" s="542"/>
      <c r="D9" s="544"/>
      <c r="E9" s="546"/>
      <c r="F9" s="554"/>
      <c r="G9" s="555"/>
      <c r="H9" s="554"/>
      <c r="I9" s="564"/>
      <c r="J9" s="564"/>
      <c r="K9" s="565"/>
      <c r="L9" s="179" t="s">
        <v>52</v>
      </c>
      <c r="M9" s="180" t="s">
        <v>53</v>
      </c>
      <c r="N9" s="181" t="s">
        <v>44</v>
      </c>
      <c r="O9" s="181" t="s">
        <v>57</v>
      </c>
      <c r="P9" s="182" t="s">
        <v>54</v>
      </c>
      <c r="Q9" s="180" t="s">
        <v>52</v>
      </c>
      <c r="R9" s="180" t="s">
        <v>53</v>
      </c>
      <c r="S9" s="181" t="s">
        <v>44</v>
      </c>
      <c r="T9" s="181" t="s">
        <v>57</v>
      </c>
      <c r="U9" s="183" t="s">
        <v>54</v>
      </c>
      <c r="V9" s="179" t="s">
        <v>52</v>
      </c>
      <c r="W9" s="180" t="s">
        <v>53</v>
      </c>
      <c r="X9" s="181" t="s">
        <v>44</v>
      </c>
      <c r="Y9" s="181" t="s">
        <v>57</v>
      </c>
      <c r="Z9" s="182" t="s">
        <v>54</v>
      </c>
      <c r="AA9" s="180" t="s">
        <v>52</v>
      </c>
      <c r="AB9" s="180" t="s">
        <v>53</v>
      </c>
      <c r="AC9" s="181" t="s">
        <v>44</v>
      </c>
      <c r="AD9" s="181" t="s">
        <v>57</v>
      </c>
      <c r="AE9" s="183" t="s">
        <v>54</v>
      </c>
      <c r="AF9" s="506" t="s">
        <v>52</v>
      </c>
      <c r="AG9" s="180" t="s">
        <v>53</v>
      </c>
      <c r="AH9" s="181" t="s">
        <v>44</v>
      </c>
      <c r="AI9" s="181" t="s">
        <v>57</v>
      </c>
      <c r="AJ9" s="182" t="s">
        <v>54</v>
      </c>
      <c r="AK9" s="180" t="s">
        <v>52</v>
      </c>
      <c r="AL9" s="180" t="s">
        <v>53</v>
      </c>
      <c r="AM9" s="181" t="s">
        <v>44</v>
      </c>
      <c r="AN9" s="181" t="s">
        <v>57</v>
      </c>
      <c r="AO9" s="507" t="s">
        <v>54</v>
      </c>
      <c r="AP9" s="179" t="s">
        <v>52</v>
      </c>
      <c r="AQ9" s="180" t="s">
        <v>53</v>
      </c>
      <c r="AR9" s="181" t="s">
        <v>44</v>
      </c>
      <c r="AS9" s="181" t="s">
        <v>57</v>
      </c>
      <c r="AT9" s="182" t="s">
        <v>54</v>
      </c>
      <c r="AU9" s="180" t="s">
        <v>52</v>
      </c>
      <c r="AV9" s="180" t="s">
        <v>53</v>
      </c>
      <c r="AW9" s="181" t="s">
        <v>44</v>
      </c>
      <c r="AX9" s="181" t="s">
        <v>57</v>
      </c>
      <c r="AY9" s="183" t="s">
        <v>54</v>
      </c>
      <c r="AZ9" s="179" t="s">
        <v>52</v>
      </c>
      <c r="BA9" s="180" t="s">
        <v>53</v>
      </c>
      <c r="BB9" s="181" t="s">
        <v>44</v>
      </c>
      <c r="BC9" s="181" t="s">
        <v>57</v>
      </c>
      <c r="BD9" s="182" t="s">
        <v>54</v>
      </c>
      <c r="BE9" s="180" t="s">
        <v>52</v>
      </c>
      <c r="BF9" s="180" t="s">
        <v>53</v>
      </c>
      <c r="BG9" s="181" t="s">
        <v>44</v>
      </c>
      <c r="BH9" s="181" t="s">
        <v>57</v>
      </c>
      <c r="BI9" s="183" t="s">
        <v>54</v>
      </c>
      <c r="BJ9" s="179" t="s">
        <v>52</v>
      </c>
      <c r="BK9" s="180" t="s">
        <v>53</v>
      </c>
      <c r="BL9" s="181" t="s">
        <v>44</v>
      </c>
      <c r="BM9" s="181" t="s">
        <v>57</v>
      </c>
      <c r="BN9" s="182" t="s">
        <v>54</v>
      </c>
      <c r="BO9" s="180" t="s">
        <v>52</v>
      </c>
      <c r="BP9" s="180" t="s">
        <v>53</v>
      </c>
      <c r="BQ9" s="181" t="s">
        <v>44</v>
      </c>
      <c r="BR9" s="181" t="s">
        <v>57</v>
      </c>
      <c r="BS9" s="507" t="s">
        <v>54</v>
      </c>
      <c r="BT9" s="553"/>
      <c r="BU9" s="593"/>
    </row>
    <row r="10" spans="2:73" ht="39" outlineLevel="1">
      <c r="B10" s="474">
        <v>1</v>
      </c>
      <c r="C10" s="211" t="s">
        <v>55</v>
      </c>
      <c r="D10" s="212"/>
      <c r="E10" s="213"/>
      <c r="F10" s="214">
        <f aca="true" t="shared" si="0" ref="F10:AK10">SUM(F11:F53)</f>
        <v>5343</v>
      </c>
      <c r="G10" s="215">
        <f t="shared" si="0"/>
        <v>2948</v>
      </c>
      <c r="H10" s="216">
        <f t="shared" si="0"/>
        <v>554</v>
      </c>
      <c r="I10" s="217">
        <f t="shared" si="0"/>
        <v>1011</v>
      </c>
      <c r="J10" s="217">
        <f t="shared" si="0"/>
        <v>1244</v>
      </c>
      <c r="K10" s="215">
        <f t="shared" si="0"/>
        <v>139</v>
      </c>
      <c r="L10" s="216">
        <f>SUM(L11:L53)</f>
        <v>903</v>
      </c>
      <c r="M10" s="217">
        <f>SUM(M11:M53)</f>
        <v>445</v>
      </c>
      <c r="N10" s="217">
        <f t="shared" si="0"/>
        <v>84</v>
      </c>
      <c r="O10" s="217">
        <f t="shared" si="0"/>
        <v>361</v>
      </c>
      <c r="P10" s="217">
        <f t="shared" si="0"/>
        <v>24</v>
      </c>
      <c r="Q10" s="217">
        <f>SUM(Q11:Q53)</f>
        <v>903</v>
      </c>
      <c r="R10" s="217">
        <f t="shared" si="0"/>
        <v>474</v>
      </c>
      <c r="S10" s="217">
        <f t="shared" si="0"/>
        <v>80</v>
      </c>
      <c r="T10" s="217">
        <f t="shared" si="0"/>
        <v>394</v>
      </c>
      <c r="U10" s="215">
        <f t="shared" si="0"/>
        <v>27</v>
      </c>
      <c r="V10" s="216">
        <f t="shared" si="0"/>
        <v>703</v>
      </c>
      <c r="W10" s="217">
        <f t="shared" si="0"/>
        <v>416</v>
      </c>
      <c r="X10" s="217">
        <f t="shared" si="0"/>
        <v>108</v>
      </c>
      <c r="Y10" s="217">
        <f t="shared" si="0"/>
        <v>308</v>
      </c>
      <c r="Z10" s="217">
        <f t="shared" si="0"/>
        <v>21</v>
      </c>
      <c r="AA10" s="217">
        <f t="shared" si="0"/>
        <v>648</v>
      </c>
      <c r="AB10" s="217">
        <f t="shared" si="0"/>
        <v>381</v>
      </c>
      <c r="AC10" s="217">
        <f t="shared" si="0"/>
        <v>88</v>
      </c>
      <c r="AD10" s="217">
        <f t="shared" si="0"/>
        <v>293</v>
      </c>
      <c r="AE10" s="215">
        <f t="shared" si="0"/>
        <v>19</v>
      </c>
      <c r="AF10" s="216">
        <f t="shared" si="0"/>
        <v>702</v>
      </c>
      <c r="AG10" s="217">
        <f>SUM(AG11:AG53)</f>
        <v>380</v>
      </c>
      <c r="AH10" s="217">
        <f t="shared" si="0"/>
        <v>83</v>
      </c>
      <c r="AI10" s="217">
        <f t="shared" si="0"/>
        <v>297</v>
      </c>
      <c r="AJ10" s="217">
        <f t="shared" si="0"/>
        <v>18</v>
      </c>
      <c r="AK10" s="217">
        <f t="shared" si="0"/>
        <v>432</v>
      </c>
      <c r="AL10" s="217">
        <f aca="true" t="shared" si="1" ref="AL10:BQ10">SUM(AL11:AL53)</f>
        <v>224</v>
      </c>
      <c r="AM10" s="217">
        <f t="shared" si="1"/>
        <v>53</v>
      </c>
      <c r="AN10" s="217">
        <f t="shared" si="1"/>
        <v>171</v>
      </c>
      <c r="AO10" s="217">
        <f t="shared" si="1"/>
        <v>12</v>
      </c>
      <c r="AP10" s="216">
        <f t="shared" si="1"/>
        <v>269</v>
      </c>
      <c r="AQ10" s="217">
        <f t="shared" si="1"/>
        <v>160</v>
      </c>
      <c r="AR10" s="217">
        <f t="shared" si="1"/>
        <v>18</v>
      </c>
      <c r="AS10" s="217">
        <f t="shared" si="1"/>
        <v>142</v>
      </c>
      <c r="AT10" s="217">
        <f t="shared" si="1"/>
        <v>6</v>
      </c>
      <c r="AU10" s="217">
        <f t="shared" si="1"/>
        <v>269</v>
      </c>
      <c r="AV10" s="217">
        <f t="shared" si="1"/>
        <v>152</v>
      </c>
      <c r="AW10" s="217">
        <f t="shared" si="1"/>
        <v>14</v>
      </c>
      <c r="AX10" s="217">
        <f t="shared" si="1"/>
        <v>138</v>
      </c>
      <c r="AY10" s="217">
        <f t="shared" si="1"/>
        <v>9</v>
      </c>
      <c r="AZ10" s="216">
        <f t="shared" si="1"/>
        <v>198</v>
      </c>
      <c r="BA10" s="217">
        <f t="shared" si="1"/>
        <v>120</v>
      </c>
      <c r="BB10" s="217">
        <f t="shared" si="1"/>
        <v>12</v>
      </c>
      <c r="BC10" s="217">
        <f t="shared" si="1"/>
        <v>108</v>
      </c>
      <c r="BD10" s="217">
        <f t="shared" si="1"/>
        <v>3</v>
      </c>
      <c r="BE10" s="217">
        <f t="shared" si="1"/>
        <v>208</v>
      </c>
      <c r="BF10" s="217">
        <f>SUM(BF11:BF53)</f>
        <v>126</v>
      </c>
      <c r="BG10" s="217">
        <f t="shared" si="1"/>
        <v>14</v>
      </c>
      <c r="BH10" s="217">
        <f t="shared" si="1"/>
        <v>112</v>
      </c>
      <c r="BI10" s="217">
        <f t="shared" si="1"/>
        <v>7</v>
      </c>
      <c r="BJ10" s="216">
        <f t="shared" si="1"/>
        <v>108</v>
      </c>
      <c r="BK10" s="217">
        <f t="shared" si="1"/>
        <v>70</v>
      </c>
      <c r="BL10" s="217">
        <f t="shared" si="1"/>
        <v>0</v>
      </c>
      <c r="BM10" s="217">
        <f t="shared" si="1"/>
        <v>70</v>
      </c>
      <c r="BN10" s="217">
        <f t="shared" si="1"/>
        <v>3</v>
      </c>
      <c r="BO10" s="217">
        <f t="shared" si="1"/>
        <v>0</v>
      </c>
      <c r="BP10" s="217">
        <f t="shared" si="1"/>
        <v>0</v>
      </c>
      <c r="BQ10" s="217">
        <f t="shared" si="1"/>
        <v>0</v>
      </c>
      <c r="BR10" s="217">
        <f>SUM(BR11:BR53)</f>
        <v>0</v>
      </c>
      <c r="BS10" s="217">
        <f>SUM(BS11:BS53)</f>
        <v>0</v>
      </c>
      <c r="BT10" s="216">
        <f>SUM(BT11:BT48)</f>
        <v>121</v>
      </c>
      <c r="BU10" s="218"/>
    </row>
    <row r="11" spans="2:80" ht="58.5" outlineLevel="1">
      <c r="B11" s="475" t="s">
        <v>152</v>
      </c>
      <c r="C11" s="219" t="s">
        <v>587</v>
      </c>
      <c r="D11" s="220"/>
      <c r="E11" s="221"/>
      <c r="F11" s="222"/>
      <c r="G11" s="223"/>
      <c r="H11" s="224"/>
      <c r="I11" s="225"/>
      <c r="J11" s="225"/>
      <c r="K11" s="223"/>
      <c r="L11" s="226"/>
      <c r="M11" s="227"/>
      <c r="N11" s="227"/>
      <c r="O11" s="227"/>
      <c r="P11" s="228"/>
      <c r="Q11" s="228"/>
      <c r="R11" s="227"/>
      <c r="S11" s="227"/>
      <c r="T11" s="227"/>
      <c r="U11" s="229"/>
      <c r="V11" s="230"/>
      <c r="W11" s="227"/>
      <c r="X11" s="227"/>
      <c r="Y11" s="227"/>
      <c r="Z11" s="227"/>
      <c r="AA11" s="227"/>
      <c r="AB11" s="227"/>
      <c r="AC11" s="227"/>
      <c r="AD11" s="227"/>
      <c r="AE11" s="229"/>
      <c r="AF11" s="231"/>
      <c r="AG11" s="232"/>
      <c r="AH11" s="232"/>
      <c r="AI11" s="232"/>
      <c r="AJ11" s="232"/>
      <c r="AK11" s="232"/>
      <c r="AL11" s="232"/>
      <c r="AM11" s="232"/>
      <c r="AN11" s="232"/>
      <c r="AO11" s="233"/>
      <c r="AP11" s="231"/>
      <c r="AQ11" s="232"/>
      <c r="AR11" s="232"/>
      <c r="AS11" s="232"/>
      <c r="AT11" s="232"/>
      <c r="AU11" s="232"/>
      <c r="AV11" s="232"/>
      <c r="AW11" s="232"/>
      <c r="AX11" s="232"/>
      <c r="AY11" s="233"/>
      <c r="AZ11" s="231"/>
      <c r="BA11" s="232"/>
      <c r="BB11" s="232"/>
      <c r="BC11" s="232"/>
      <c r="BD11" s="232"/>
      <c r="BE11" s="232"/>
      <c r="BF11" s="232"/>
      <c r="BG11" s="232"/>
      <c r="BH11" s="232"/>
      <c r="BI11" s="233"/>
      <c r="BJ11" s="231"/>
      <c r="BK11" s="232"/>
      <c r="BL11" s="232"/>
      <c r="BM11" s="232"/>
      <c r="BN11" s="232"/>
      <c r="BO11" s="232"/>
      <c r="BP11" s="232"/>
      <c r="BQ11" s="232"/>
      <c r="BR11" s="232"/>
      <c r="BS11" s="233"/>
      <c r="BT11" s="234"/>
      <c r="BU11" s="235"/>
      <c r="BV11" s="50">
        <f>SUM(BT12:BT14)</f>
        <v>9</v>
      </c>
      <c r="BW11" s="49"/>
      <c r="BX11" s="49"/>
      <c r="BY11" s="49"/>
      <c r="BZ11" s="47"/>
      <c r="CA11" s="47"/>
      <c r="CB11" s="47"/>
    </row>
    <row r="12" spans="2:73" ht="46.5" customHeight="1" outlineLevel="1">
      <c r="B12" s="476" t="s">
        <v>149</v>
      </c>
      <c r="C12" s="236" t="s">
        <v>566</v>
      </c>
      <c r="D12" s="237"/>
      <c r="E12" s="238" t="s">
        <v>162</v>
      </c>
      <c r="F12" s="239">
        <f>SUM(L12,Q12,V12,AA12,AF12,AK12,AP12,AU12,AZ12,BE12,BJ12,BO12)</f>
        <v>108</v>
      </c>
      <c r="G12" s="240">
        <f>SUM(H12:K12)</f>
        <v>54</v>
      </c>
      <c r="H12" s="239">
        <f>SUM(N12,S12,X12,AC12,AH12,AM12,AR12,AW12,BB12,BG12,BL12,BQ12)</f>
        <v>28</v>
      </c>
      <c r="I12" s="241"/>
      <c r="J12" s="241"/>
      <c r="K12" s="238">
        <f>SUM(O12,T12,Y12,AD12,AI12,AN12,AS12,AX12,BC12,BH12,BM12,BR12)</f>
        <v>26</v>
      </c>
      <c r="L12" s="239">
        <v>108</v>
      </c>
      <c r="M12" s="241">
        <f>SUM(N12:O12)</f>
        <v>54</v>
      </c>
      <c r="N12" s="242">
        <v>28</v>
      </c>
      <c r="O12" s="242">
        <v>26</v>
      </c>
      <c r="P12" s="243">
        <v>3</v>
      </c>
      <c r="Q12" s="242"/>
      <c r="R12" s="242"/>
      <c r="S12" s="242"/>
      <c r="T12" s="242"/>
      <c r="U12" s="240"/>
      <c r="V12" s="239"/>
      <c r="W12" s="241"/>
      <c r="X12" s="242"/>
      <c r="Y12" s="242"/>
      <c r="Z12" s="242"/>
      <c r="AA12" s="242"/>
      <c r="AB12" s="242"/>
      <c r="AC12" s="242"/>
      <c r="AD12" s="242"/>
      <c r="AE12" s="244"/>
      <c r="AF12" s="245"/>
      <c r="AG12" s="246"/>
      <c r="AH12" s="246"/>
      <c r="AI12" s="246"/>
      <c r="AJ12" s="246"/>
      <c r="AK12" s="246"/>
      <c r="AL12" s="246"/>
      <c r="AM12" s="246"/>
      <c r="AN12" s="246"/>
      <c r="AO12" s="213"/>
      <c r="AP12" s="245"/>
      <c r="AQ12" s="246"/>
      <c r="AR12" s="246"/>
      <c r="AS12" s="246"/>
      <c r="AT12" s="246"/>
      <c r="AU12" s="246"/>
      <c r="AV12" s="246"/>
      <c r="AW12" s="246"/>
      <c r="AX12" s="246"/>
      <c r="AY12" s="213"/>
      <c r="AZ12" s="245"/>
      <c r="BA12" s="246"/>
      <c r="BB12" s="246"/>
      <c r="BC12" s="246"/>
      <c r="BD12" s="246"/>
      <c r="BE12" s="246"/>
      <c r="BF12" s="246"/>
      <c r="BG12" s="246"/>
      <c r="BH12" s="246"/>
      <c r="BI12" s="213"/>
      <c r="BJ12" s="245"/>
      <c r="BK12" s="246"/>
      <c r="BL12" s="246"/>
      <c r="BM12" s="246"/>
      <c r="BN12" s="246"/>
      <c r="BO12" s="246"/>
      <c r="BP12" s="246"/>
      <c r="BQ12" s="246"/>
      <c r="BR12" s="246"/>
      <c r="BS12" s="213"/>
      <c r="BT12" s="247">
        <f>SUM(P12,U12,Z12,AE12,AJ12,AO12,AT12,AY12,BD12,BI12,BN12,BS12)</f>
        <v>3</v>
      </c>
      <c r="BU12" s="248" t="s">
        <v>378</v>
      </c>
    </row>
    <row r="13" spans="2:73" ht="42" customHeight="1" outlineLevel="1">
      <c r="B13" s="476" t="s">
        <v>150</v>
      </c>
      <c r="C13" s="236" t="s">
        <v>565</v>
      </c>
      <c r="D13" s="212">
        <v>1</v>
      </c>
      <c r="E13" s="238"/>
      <c r="F13" s="239">
        <f>SUM(L13,Q13,V13,AA13,AF13,AK13,AP13,AU13,AZ13,BE13,BJ13,BO13)</f>
        <v>108</v>
      </c>
      <c r="G13" s="240">
        <f>SUM(H13:K13)</f>
        <v>54</v>
      </c>
      <c r="H13" s="239">
        <f>SUM(N13,S13,X13,AC13,AH13,AM13,AR13,AW13,BB13,BG13,BL13,BQ13)</f>
        <v>28</v>
      </c>
      <c r="I13" s="241"/>
      <c r="J13" s="241"/>
      <c r="K13" s="238">
        <f>SUM(O13,T13,Y13,AD13,AI13,AN13,AS13,AX13,BC13,BH13,BM13,BR13)</f>
        <v>26</v>
      </c>
      <c r="L13" s="241">
        <v>108</v>
      </c>
      <c r="M13" s="241">
        <f>SUM(N13:O13)</f>
        <v>54</v>
      </c>
      <c r="N13" s="242">
        <v>28</v>
      </c>
      <c r="O13" s="242">
        <v>26</v>
      </c>
      <c r="P13" s="243">
        <v>3</v>
      </c>
      <c r="Q13" s="242"/>
      <c r="R13" s="255">
        <f>SUM(S13:T13)</f>
        <v>0</v>
      </c>
      <c r="S13" s="242"/>
      <c r="T13" s="242"/>
      <c r="U13" s="238"/>
      <c r="V13" s="239"/>
      <c r="W13" s="241"/>
      <c r="X13" s="242"/>
      <c r="Y13" s="242"/>
      <c r="Z13" s="242"/>
      <c r="AA13" s="242"/>
      <c r="AB13" s="242"/>
      <c r="AC13" s="242"/>
      <c r="AD13" s="242"/>
      <c r="AE13" s="244"/>
      <c r="AF13" s="245"/>
      <c r="AG13" s="246"/>
      <c r="AH13" s="246"/>
      <c r="AI13" s="246"/>
      <c r="AJ13" s="246"/>
      <c r="AK13" s="246"/>
      <c r="AL13" s="246"/>
      <c r="AM13" s="246"/>
      <c r="AN13" s="246"/>
      <c r="AO13" s="213"/>
      <c r="AP13" s="245"/>
      <c r="AQ13" s="246"/>
      <c r="AR13" s="246"/>
      <c r="AS13" s="246"/>
      <c r="AT13" s="246"/>
      <c r="AU13" s="246"/>
      <c r="AV13" s="246"/>
      <c r="AW13" s="246"/>
      <c r="AX13" s="246"/>
      <c r="AY13" s="213"/>
      <c r="AZ13" s="245"/>
      <c r="BA13" s="246"/>
      <c r="BB13" s="246"/>
      <c r="BC13" s="246"/>
      <c r="BD13" s="246"/>
      <c r="BE13" s="246"/>
      <c r="BF13" s="246"/>
      <c r="BG13" s="246"/>
      <c r="BH13" s="246"/>
      <c r="BI13" s="213"/>
      <c r="BJ13" s="245"/>
      <c r="BK13" s="246"/>
      <c r="BL13" s="246"/>
      <c r="BM13" s="246"/>
      <c r="BN13" s="246"/>
      <c r="BO13" s="246"/>
      <c r="BP13" s="246"/>
      <c r="BQ13" s="246"/>
      <c r="BR13" s="246"/>
      <c r="BS13" s="213"/>
      <c r="BT13" s="247">
        <f aca="true" t="shared" si="2" ref="BT13:BT46">SUM(P13,U13,Z13,AE13,AJ13,AO13,AT13,AY13,BD13,BI13,BN13,BS13)</f>
        <v>3</v>
      </c>
      <c r="BU13" s="248" t="s">
        <v>398</v>
      </c>
    </row>
    <row r="14" spans="2:73" ht="19.5" outlineLevel="1">
      <c r="B14" s="477" t="s">
        <v>151</v>
      </c>
      <c r="C14" s="236" t="s">
        <v>56</v>
      </c>
      <c r="D14" s="249"/>
      <c r="E14" s="250" t="s">
        <v>575</v>
      </c>
      <c r="F14" s="251">
        <f>SUM(L14,Q14,V14,AA14,AF14,AK14,AP14,AU14,AZ14,BE14,BJ14,BO14)</f>
        <v>108</v>
      </c>
      <c r="G14" s="252">
        <f>SUM(H14:K14)</f>
        <v>54</v>
      </c>
      <c r="H14" s="251">
        <f>SUM(N14,S14,X14,AC14,AH14,AM14,AR14,AW14,BB14,BG14,BL14,BQ14)</f>
        <v>28</v>
      </c>
      <c r="I14" s="253"/>
      <c r="J14" s="253"/>
      <c r="K14" s="254">
        <f>SUM(O14,T14,Y14,AD14,AI14,AN14,AS14,AX14,BC14,BH14,BM14,BR14)</f>
        <v>26</v>
      </c>
      <c r="L14" s="251"/>
      <c r="M14" s="253"/>
      <c r="N14" s="255"/>
      <c r="O14" s="255"/>
      <c r="P14" s="255"/>
      <c r="Q14" s="255"/>
      <c r="R14" s="255">
        <f>SUM(S14:T14)</f>
        <v>0</v>
      </c>
      <c r="S14" s="255"/>
      <c r="T14" s="255"/>
      <c r="U14" s="254"/>
      <c r="V14" s="388">
        <v>108</v>
      </c>
      <c r="W14" s="253">
        <f>SUM(X14:Y14)</f>
        <v>54</v>
      </c>
      <c r="X14" s="255">
        <v>28</v>
      </c>
      <c r="Y14" s="255">
        <v>26</v>
      </c>
      <c r="Z14" s="255">
        <v>3</v>
      </c>
      <c r="AA14" s="255"/>
      <c r="AB14" s="255">
        <f>SUM(AC14:AD14)</f>
        <v>0</v>
      </c>
      <c r="AC14" s="255"/>
      <c r="AD14" s="255"/>
      <c r="AE14" s="244"/>
      <c r="AF14" s="256"/>
      <c r="AG14" s="257"/>
      <c r="AH14" s="257"/>
      <c r="AI14" s="257"/>
      <c r="AJ14" s="257"/>
      <c r="AK14" s="257"/>
      <c r="AL14" s="257"/>
      <c r="AM14" s="257"/>
      <c r="AN14" s="257"/>
      <c r="AO14" s="258"/>
      <c r="AP14" s="256"/>
      <c r="AQ14" s="257"/>
      <c r="AR14" s="257"/>
      <c r="AS14" s="257"/>
      <c r="AT14" s="257"/>
      <c r="AU14" s="257"/>
      <c r="AV14" s="257"/>
      <c r="AW14" s="257"/>
      <c r="AX14" s="257"/>
      <c r="AY14" s="258"/>
      <c r="AZ14" s="256"/>
      <c r="BA14" s="257"/>
      <c r="BB14" s="257"/>
      <c r="BC14" s="257"/>
      <c r="BD14" s="257"/>
      <c r="BE14" s="257"/>
      <c r="BF14" s="257"/>
      <c r="BG14" s="257"/>
      <c r="BH14" s="257"/>
      <c r="BI14" s="258"/>
      <c r="BJ14" s="256"/>
      <c r="BK14" s="257"/>
      <c r="BL14" s="257"/>
      <c r="BM14" s="257"/>
      <c r="BN14" s="257"/>
      <c r="BO14" s="257"/>
      <c r="BP14" s="257"/>
      <c r="BQ14" s="257"/>
      <c r="BR14" s="257"/>
      <c r="BS14" s="258"/>
      <c r="BT14" s="247">
        <f t="shared" si="2"/>
        <v>3</v>
      </c>
      <c r="BU14" s="248" t="s">
        <v>403</v>
      </c>
    </row>
    <row r="15" spans="2:80" ht="39" outlineLevel="1">
      <c r="B15" s="478" t="s">
        <v>153</v>
      </c>
      <c r="C15" s="219" t="s">
        <v>154</v>
      </c>
      <c r="D15" s="220"/>
      <c r="E15" s="221"/>
      <c r="F15" s="224"/>
      <c r="G15" s="223"/>
      <c r="H15" s="224"/>
      <c r="I15" s="225"/>
      <c r="J15" s="225"/>
      <c r="K15" s="223"/>
      <c r="L15" s="226"/>
      <c r="M15" s="227"/>
      <c r="N15" s="227"/>
      <c r="O15" s="227"/>
      <c r="P15" s="228"/>
      <c r="Q15" s="228"/>
      <c r="R15" s="227"/>
      <c r="S15" s="227"/>
      <c r="T15" s="227"/>
      <c r="U15" s="229"/>
      <c r="V15" s="230"/>
      <c r="W15" s="227"/>
      <c r="X15" s="227"/>
      <c r="Y15" s="227"/>
      <c r="Z15" s="227"/>
      <c r="AA15" s="227"/>
      <c r="AB15" s="227"/>
      <c r="AC15" s="227"/>
      <c r="AD15" s="227"/>
      <c r="AE15" s="229"/>
      <c r="AF15" s="231"/>
      <c r="AG15" s="232"/>
      <c r="AH15" s="232"/>
      <c r="AI15" s="232"/>
      <c r="AJ15" s="232"/>
      <c r="AK15" s="232"/>
      <c r="AL15" s="232"/>
      <c r="AM15" s="232"/>
      <c r="AN15" s="232"/>
      <c r="AO15" s="233"/>
      <c r="AP15" s="231"/>
      <c r="AQ15" s="232"/>
      <c r="AR15" s="232"/>
      <c r="AS15" s="232"/>
      <c r="AT15" s="232"/>
      <c r="AU15" s="232"/>
      <c r="AV15" s="232"/>
      <c r="AW15" s="232"/>
      <c r="AX15" s="232"/>
      <c r="AY15" s="233"/>
      <c r="AZ15" s="231"/>
      <c r="BA15" s="232"/>
      <c r="BB15" s="232"/>
      <c r="BC15" s="232"/>
      <c r="BD15" s="232"/>
      <c r="BE15" s="232"/>
      <c r="BF15" s="232"/>
      <c r="BG15" s="232"/>
      <c r="BH15" s="232"/>
      <c r="BI15" s="233"/>
      <c r="BJ15" s="231"/>
      <c r="BK15" s="232"/>
      <c r="BL15" s="232"/>
      <c r="BM15" s="232"/>
      <c r="BN15" s="232"/>
      <c r="BO15" s="232"/>
      <c r="BP15" s="232"/>
      <c r="BQ15" s="232"/>
      <c r="BR15" s="232"/>
      <c r="BS15" s="233"/>
      <c r="BT15" s="259"/>
      <c r="BU15" s="235"/>
      <c r="BV15" s="50">
        <f>SUM(BT16:BT17)</f>
        <v>6</v>
      </c>
      <c r="BW15" s="49"/>
      <c r="BX15" s="49"/>
      <c r="BY15" s="49"/>
      <c r="BZ15" s="47"/>
      <c r="CA15" s="47"/>
      <c r="CB15" s="47"/>
    </row>
    <row r="16" spans="2:73" ht="46.5" customHeight="1" outlineLevel="1">
      <c r="B16" s="477" t="s">
        <v>155</v>
      </c>
      <c r="C16" s="236" t="s">
        <v>173</v>
      </c>
      <c r="D16" s="237"/>
      <c r="E16" s="244">
        <v>1</v>
      </c>
      <c r="F16" s="237">
        <f>SUM(L16,Q16,V16,AA16,AF16,AK16,AP16,AU16,AZ16,BE16,BJ16,BO16)</f>
        <v>108</v>
      </c>
      <c r="G16" s="243">
        <f>SUM(H16:K16)</f>
        <v>44</v>
      </c>
      <c r="H16" s="237">
        <f>SUM(N16,S16,X16,AC16,AH16,AM16,AR16,AW16,BB16,BG16,BL16,BQ16)</f>
        <v>8</v>
      </c>
      <c r="I16" s="242">
        <f>SUM(O16,T16,Y16,AD16,AI16,AN16,AS16,AX16,BC16,BH16,BM16,BR16)-J16</f>
        <v>9</v>
      </c>
      <c r="J16" s="260">
        <v>27</v>
      </c>
      <c r="K16" s="244"/>
      <c r="L16" s="237">
        <v>108</v>
      </c>
      <c r="M16" s="242">
        <f>SUM(N16:O16)</f>
        <v>44</v>
      </c>
      <c r="N16" s="261">
        <v>8</v>
      </c>
      <c r="O16" s="261">
        <v>36</v>
      </c>
      <c r="P16" s="255">
        <v>3</v>
      </c>
      <c r="Q16" s="260"/>
      <c r="R16" s="242">
        <f>SUM(S16:T16)</f>
        <v>0</v>
      </c>
      <c r="S16" s="261"/>
      <c r="T16" s="261"/>
      <c r="U16" s="244"/>
      <c r="V16" s="260"/>
      <c r="W16" s="242"/>
      <c r="X16" s="261"/>
      <c r="Y16" s="261"/>
      <c r="Z16" s="242"/>
      <c r="AA16" s="242"/>
      <c r="AB16" s="242"/>
      <c r="AC16" s="261"/>
      <c r="AD16" s="261"/>
      <c r="AE16" s="244"/>
      <c r="AF16" s="245"/>
      <c r="AG16" s="246"/>
      <c r="AH16" s="262"/>
      <c r="AI16" s="262"/>
      <c r="AJ16" s="246"/>
      <c r="AK16" s="246"/>
      <c r="AL16" s="246"/>
      <c r="AM16" s="262"/>
      <c r="AN16" s="262"/>
      <c r="AO16" s="213"/>
      <c r="AP16" s="245"/>
      <c r="AQ16" s="246"/>
      <c r="AR16" s="262"/>
      <c r="AS16" s="262"/>
      <c r="AT16" s="246"/>
      <c r="AU16" s="246"/>
      <c r="AV16" s="246"/>
      <c r="AW16" s="262"/>
      <c r="AX16" s="262"/>
      <c r="AY16" s="213"/>
      <c r="AZ16" s="245"/>
      <c r="BA16" s="246"/>
      <c r="BB16" s="262"/>
      <c r="BC16" s="262"/>
      <c r="BD16" s="246"/>
      <c r="BE16" s="246"/>
      <c r="BF16" s="246"/>
      <c r="BG16" s="262"/>
      <c r="BH16" s="262"/>
      <c r="BI16" s="213"/>
      <c r="BJ16" s="245"/>
      <c r="BK16" s="246"/>
      <c r="BL16" s="262"/>
      <c r="BM16" s="262"/>
      <c r="BN16" s="246"/>
      <c r="BO16" s="246"/>
      <c r="BP16" s="246"/>
      <c r="BQ16" s="262"/>
      <c r="BR16" s="262"/>
      <c r="BS16" s="213"/>
      <c r="BT16" s="247">
        <f t="shared" si="2"/>
        <v>3</v>
      </c>
      <c r="BU16" s="248" t="s">
        <v>304</v>
      </c>
    </row>
    <row r="17" spans="2:77" s="45" customFormat="1" ht="40.5" customHeight="1" outlineLevel="1">
      <c r="B17" s="477" t="s">
        <v>156</v>
      </c>
      <c r="C17" s="236" t="s">
        <v>60</v>
      </c>
      <c r="D17" s="237">
        <v>1</v>
      </c>
      <c r="E17" s="244"/>
      <c r="F17" s="237">
        <f>SUM(L17,Q17,V17,AA17,AF17,AK17,AP17,AU17,AZ17,BE17,BJ17,BO17)</f>
        <v>108</v>
      </c>
      <c r="G17" s="243">
        <f>SUM(H17:K17)</f>
        <v>44</v>
      </c>
      <c r="H17" s="237">
        <f>SUM(N17,S17,X17,AC17,AH17,AM17,AR17,AW17,BB17,BG17,BL17,BQ17)</f>
        <v>8</v>
      </c>
      <c r="I17" s="242">
        <f>SUM(O17,T17,Y17,AD17,AI17,AN17,AS17,AX17,BC17,BH17,BM17,BR17)</f>
        <v>36</v>
      </c>
      <c r="J17" s="242"/>
      <c r="K17" s="244"/>
      <c r="L17" s="237">
        <v>108</v>
      </c>
      <c r="M17" s="242">
        <f>SUM(N17:O17)</f>
        <v>44</v>
      </c>
      <c r="N17" s="261">
        <v>8</v>
      </c>
      <c r="O17" s="261">
        <v>36</v>
      </c>
      <c r="P17" s="255">
        <v>3</v>
      </c>
      <c r="Q17" s="242"/>
      <c r="R17" s="242"/>
      <c r="S17" s="242"/>
      <c r="T17" s="242"/>
      <c r="U17" s="244"/>
      <c r="V17" s="260"/>
      <c r="W17" s="242"/>
      <c r="X17" s="261"/>
      <c r="Y17" s="261"/>
      <c r="Z17" s="242"/>
      <c r="AA17" s="242"/>
      <c r="AB17" s="242"/>
      <c r="AC17" s="261"/>
      <c r="AD17" s="261"/>
      <c r="AE17" s="244"/>
      <c r="AF17" s="245"/>
      <c r="AG17" s="246"/>
      <c r="AH17" s="262"/>
      <c r="AI17" s="262"/>
      <c r="AJ17" s="246"/>
      <c r="AK17" s="246"/>
      <c r="AL17" s="246"/>
      <c r="AM17" s="262"/>
      <c r="AN17" s="262"/>
      <c r="AO17" s="213"/>
      <c r="AP17" s="245"/>
      <c r="AQ17" s="246"/>
      <c r="AR17" s="262"/>
      <c r="AS17" s="262"/>
      <c r="AT17" s="246"/>
      <c r="AU17" s="246"/>
      <c r="AV17" s="246"/>
      <c r="AW17" s="262"/>
      <c r="AX17" s="262"/>
      <c r="AY17" s="213"/>
      <c r="AZ17" s="245"/>
      <c r="BA17" s="246"/>
      <c r="BB17" s="262"/>
      <c r="BC17" s="262"/>
      <c r="BD17" s="246"/>
      <c r="BE17" s="246"/>
      <c r="BF17" s="246"/>
      <c r="BG17" s="262"/>
      <c r="BH17" s="262"/>
      <c r="BI17" s="213"/>
      <c r="BJ17" s="245"/>
      <c r="BK17" s="246"/>
      <c r="BL17" s="262"/>
      <c r="BM17" s="262"/>
      <c r="BN17" s="246"/>
      <c r="BO17" s="246"/>
      <c r="BP17" s="246"/>
      <c r="BQ17" s="262"/>
      <c r="BR17" s="262"/>
      <c r="BS17" s="213"/>
      <c r="BT17" s="247">
        <f t="shared" si="2"/>
        <v>3</v>
      </c>
      <c r="BU17" s="248" t="s">
        <v>305</v>
      </c>
      <c r="BW17" s="48"/>
      <c r="BX17" s="48"/>
      <c r="BY17" s="48"/>
    </row>
    <row r="18" spans="2:80" ht="39" outlineLevel="1">
      <c r="B18" s="478" t="s">
        <v>157</v>
      </c>
      <c r="C18" s="219" t="s">
        <v>158</v>
      </c>
      <c r="D18" s="220"/>
      <c r="E18" s="221"/>
      <c r="F18" s="224"/>
      <c r="G18" s="223"/>
      <c r="H18" s="224"/>
      <c r="I18" s="225"/>
      <c r="J18" s="225"/>
      <c r="K18" s="223"/>
      <c r="L18" s="226"/>
      <c r="M18" s="227"/>
      <c r="N18" s="227"/>
      <c r="O18" s="227"/>
      <c r="P18" s="228"/>
      <c r="Q18" s="228"/>
      <c r="R18" s="227"/>
      <c r="S18" s="227"/>
      <c r="T18" s="227"/>
      <c r="U18" s="229"/>
      <c r="V18" s="230"/>
      <c r="W18" s="227"/>
      <c r="X18" s="227"/>
      <c r="Y18" s="227"/>
      <c r="Z18" s="227"/>
      <c r="AA18" s="227"/>
      <c r="AB18" s="227"/>
      <c r="AC18" s="227"/>
      <c r="AD18" s="227"/>
      <c r="AE18" s="229"/>
      <c r="AF18" s="231"/>
      <c r="AG18" s="232"/>
      <c r="AH18" s="232"/>
      <c r="AI18" s="232"/>
      <c r="AJ18" s="232"/>
      <c r="AK18" s="232"/>
      <c r="AL18" s="232"/>
      <c r="AM18" s="232"/>
      <c r="AN18" s="232"/>
      <c r="AO18" s="233"/>
      <c r="AP18" s="231"/>
      <c r="AQ18" s="232"/>
      <c r="AR18" s="232"/>
      <c r="AS18" s="232"/>
      <c r="AT18" s="232"/>
      <c r="AU18" s="232"/>
      <c r="AV18" s="232"/>
      <c r="AW18" s="232"/>
      <c r="AX18" s="232"/>
      <c r="AY18" s="233"/>
      <c r="AZ18" s="231"/>
      <c r="BA18" s="232"/>
      <c r="BB18" s="232"/>
      <c r="BC18" s="232"/>
      <c r="BD18" s="232"/>
      <c r="BE18" s="232"/>
      <c r="BF18" s="232"/>
      <c r="BG18" s="232"/>
      <c r="BH18" s="232"/>
      <c r="BI18" s="233"/>
      <c r="BJ18" s="231"/>
      <c r="BK18" s="232"/>
      <c r="BL18" s="232"/>
      <c r="BM18" s="232"/>
      <c r="BN18" s="232"/>
      <c r="BO18" s="232"/>
      <c r="BP18" s="232"/>
      <c r="BQ18" s="232"/>
      <c r="BR18" s="232"/>
      <c r="BS18" s="233"/>
      <c r="BT18" s="259"/>
      <c r="BU18" s="235"/>
      <c r="BV18" s="50">
        <f>SUM(BT19:BT20)</f>
        <v>9</v>
      </c>
      <c r="BW18" s="49"/>
      <c r="BX18" s="49"/>
      <c r="BY18" s="49"/>
      <c r="BZ18" s="47"/>
      <c r="CA18" s="47"/>
      <c r="CB18" s="47"/>
    </row>
    <row r="19" spans="2:73" ht="19.5" outlineLevel="1">
      <c r="B19" s="479" t="s">
        <v>159</v>
      </c>
      <c r="C19" s="236" t="s">
        <v>64</v>
      </c>
      <c r="D19" s="237"/>
      <c r="E19" s="244" t="s">
        <v>147</v>
      </c>
      <c r="F19" s="237">
        <f>SUM(L19,Q19,V19,AA19,AF19,AK19,AP19,AU19,AZ19,BE19,BJ19,BO19)</f>
        <v>228</v>
      </c>
      <c r="G19" s="243">
        <f>SUM(H19:K19)</f>
        <v>150</v>
      </c>
      <c r="H19" s="237">
        <f>SUM(N19,S19,X19,AC19,AH19,AM19,AR19,AW19,BB19,BG19,BL19,BQ19)</f>
        <v>0</v>
      </c>
      <c r="I19" s="242"/>
      <c r="J19" s="242">
        <f>SUM(O19,T19,Y19,AD19,AI19,AN19,AS19,AX19,BC19,BH19,BM19,BR19)</f>
        <v>150</v>
      </c>
      <c r="K19" s="244"/>
      <c r="L19" s="237">
        <v>114</v>
      </c>
      <c r="M19" s="242">
        <f>SUM(N19:O19)</f>
        <v>76</v>
      </c>
      <c r="N19" s="261"/>
      <c r="O19" s="261">
        <v>76</v>
      </c>
      <c r="P19" s="242">
        <v>3</v>
      </c>
      <c r="Q19" s="260">
        <v>114</v>
      </c>
      <c r="R19" s="263">
        <f>SUM(S19:T19)</f>
        <v>74</v>
      </c>
      <c r="S19" s="261"/>
      <c r="T19" s="242">
        <v>74</v>
      </c>
      <c r="U19" s="244">
        <v>3</v>
      </c>
      <c r="V19" s="260"/>
      <c r="W19" s="242"/>
      <c r="X19" s="261"/>
      <c r="Y19" s="261"/>
      <c r="Z19" s="242"/>
      <c r="AA19" s="260"/>
      <c r="AB19" s="242"/>
      <c r="AC19" s="261"/>
      <c r="AD19" s="261"/>
      <c r="AE19" s="244"/>
      <c r="AF19" s="260"/>
      <c r="AG19" s="242"/>
      <c r="AH19" s="261"/>
      <c r="AI19" s="261"/>
      <c r="AJ19" s="242"/>
      <c r="AK19" s="242"/>
      <c r="AL19" s="242"/>
      <c r="AM19" s="261"/>
      <c r="AN19" s="261"/>
      <c r="AO19" s="244"/>
      <c r="AP19" s="260"/>
      <c r="AQ19" s="242"/>
      <c r="AR19" s="261"/>
      <c r="AS19" s="261"/>
      <c r="AT19" s="242"/>
      <c r="AU19" s="242"/>
      <c r="AV19" s="242"/>
      <c r="AW19" s="261"/>
      <c r="AX19" s="261"/>
      <c r="AY19" s="244"/>
      <c r="AZ19" s="260"/>
      <c r="BA19" s="242"/>
      <c r="BB19" s="261"/>
      <c r="BC19" s="261"/>
      <c r="BD19" s="242"/>
      <c r="BE19" s="242"/>
      <c r="BF19" s="242"/>
      <c r="BG19" s="261"/>
      <c r="BH19" s="261"/>
      <c r="BI19" s="244"/>
      <c r="BJ19" s="260"/>
      <c r="BK19" s="242"/>
      <c r="BL19" s="261"/>
      <c r="BM19" s="261"/>
      <c r="BN19" s="242"/>
      <c r="BO19" s="242"/>
      <c r="BP19" s="242"/>
      <c r="BQ19" s="261"/>
      <c r="BR19" s="261"/>
      <c r="BS19" s="244"/>
      <c r="BT19" s="247">
        <f t="shared" si="2"/>
        <v>6</v>
      </c>
      <c r="BU19" s="248" t="s">
        <v>301</v>
      </c>
    </row>
    <row r="20" spans="2:73" ht="19.5" outlineLevel="1">
      <c r="B20" s="479" t="s">
        <v>197</v>
      </c>
      <c r="C20" s="236" t="s">
        <v>63</v>
      </c>
      <c r="D20" s="264"/>
      <c r="E20" s="244" t="s">
        <v>382</v>
      </c>
      <c r="F20" s="237">
        <f>SUM(L20,Q20,V20,AA20,AF20,AK20,AP20,AU20,AZ20,BE20,BJ20,BO20)</f>
        <v>138</v>
      </c>
      <c r="G20" s="265">
        <f>SUM(H20:K20)</f>
        <v>72</v>
      </c>
      <c r="H20" s="264">
        <f>SUM(N20,S20,X20,AC20,AH20,AM20,AR20,AW20,BB20,BG20,BL20,BQ20)</f>
        <v>0</v>
      </c>
      <c r="I20" s="266"/>
      <c r="J20" s="263">
        <f>SUM(O20,T20,Y20,AD20,AI20,AN20,AS20,AX20,BC20,BH20,BM20,BR20)</f>
        <v>72</v>
      </c>
      <c r="K20" s="267"/>
      <c r="L20" s="237">
        <v>69</v>
      </c>
      <c r="M20" s="263">
        <f>SUM(N20:O20)</f>
        <v>38</v>
      </c>
      <c r="N20" s="268"/>
      <c r="O20" s="268">
        <v>38</v>
      </c>
      <c r="P20" s="242"/>
      <c r="Q20" s="260">
        <v>69</v>
      </c>
      <c r="R20" s="263">
        <f>SUM(S20:T20)</f>
        <v>34</v>
      </c>
      <c r="S20" s="268"/>
      <c r="T20" s="263">
        <v>34</v>
      </c>
      <c r="U20" s="244">
        <v>3</v>
      </c>
      <c r="V20" s="269"/>
      <c r="W20" s="263"/>
      <c r="X20" s="268"/>
      <c r="Y20" s="268"/>
      <c r="Z20" s="242">
        <f>V20/36</f>
        <v>0</v>
      </c>
      <c r="AA20" s="263"/>
      <c r="AB20" s="263"/>
      <c r="AC20" s="268"/>
      <c r="AD20" s="268"/>
      <c r="AE20" s="244"/>
      <c r="AF20" s="269"/>
      <c r="AG20" s="263"/>
      <c r="AH20" s="268"/>
      <c r="AI20" s="268"/>
      <c r="AJ20" s="242"/>
      <c r="AK20" s="263"/>
      <c r="AL20" s="263"/>
      <c r="AM20" s="268"/>
      <c r="AN20" s="268"/>
      <c r="AO20" s="244"/>
      <c r="AP20" s="269"/>
      <c r="AQ20" s="263"/>
      <c r="AR20" s="268"/>
      <c r="AS20" s="268"/>
      <c r="AT20" s="242"/>
      <c r="AU20" s="263"/>
      <c r="AV20" s="263"/>
      <c r="AW20" s="268"/>
      <c r="AX20" s="268"/>
      <c r="AY20" s="244"/>
      <c r="AZ20" s="269"/>
      <c r="BA20" s="263"/>
      <c r="BB20" s="268"/>
      <c r="BC20" s="268"/>
      <c r="BD20" s="242"/>
      <c r="BE20" s="263"/>
      <c r="BF20" s="263"/>
      <c r="BG20" s="268"/>
      <c r="BH20" s="268"/>
      <c r="BI20" s="244"/>
      <c r="BJ20" s="269"/>
      <c r="BK20" s="263"/>
      <c r="BL20" s="268"/>
      <c r="BM20" s="268"/>
      <c r="BN20" s="242"/>
      <c r="BO20" s="263"/>
      <c r="BP20" s="263"/>
      <c r="BQ20" s="268"/>
      <c r="BR20" s="268"/>
      <c r="BS20" s="244"/>
      <c r="BT20" s="247">
        <f t="shared" si="2"/>
        <v>3</v>
      </c>
      <c r="BU20" s="248" t="s">
        <v>410</v>
      </c>
    </row>
    <row r="21" spans="2:74" ht="39" outlineLevel="1">
      <c r="B21" s="480" t="s">
        <v>160</v>
      </c>
      <c r="C21" s="270" t="s">
        <v>199</v>
      </c>
      <c r="D21" s="271"/>
      <c r="E21" s="272"/>
      <c r="F21" s="271"/>
      <c r="G21" s="273"/>
      <c r="H21" s="271"/>
      <c r="I21" s="274"/>
      <c r="J21" s="274"/>
      <c r="K21" s="272"/>
      <c r="L21" s="271"/>
      <c r="M21" s="274"/>
      <c r="N21" s="275"/>
      <c r="O21" s="275"/>
      <c r="P21" s="274"/>
      <c r="Q21" s="276"/>
      <c r="R21" s="274"/>
      <c r="S21" s="275"/>
      <c r="T21" s="275"/>
      <c r="U21" s="272"/>
      <c r="V21" s="276"/>
      <c r="W21" s="274"/>
      <c r="X21" s="275"/>
      <c r="Y21" s="275"/>
      <c r="Z21" s="274"/>
      <c r="AA21" s="276"/>
      <c r="AB21" s="274"/>
      <c r="AC21" s="275"/>
      <c r="AD21" s="275"/>
      <c r="AE21" s="272"/>
      <c r="AF21" s="276"/>
      <c r="AG21" s="274"/>
      <c r="AH21" s="275"/>
      <c r="AI21" s="275"/>
      <c r="AJ21" s="274"/>
      <c r="AK21" s="274"/>
      <c r="AL21" s="274"/>
      <c r="AM21" s="275"/>
      <c r="AN21" s="275"/>
      <c r="AO21" s="272"/>
      <c r="AP21" s="276"/>
      <c r="AQ21" s="274"/>
      <c r="AR21" s="275"/>
      <c r="AS21" s="275"/>
      <c r="AT21" s="274"/>
      <c r="AU21" s="274"/>
      <c r="AV21" s="274"/>
      <c r="AW21" s="275"/>
      <c r="AX21" s="275"/>
      <c r="AY21" s="272"/>
      <c r="AZ21" s="276"/>
      <c r="BA21" s="274"/>
      <c r="BB21" s="275"/>
      <c r="BC21" s="275"/>
      <c r="BD21" s="274"/>
      <c r="BE21" s="274"/>
      <c r="BF21" s="274"/>
      <c r="BG21" s="275"/>
      <c r="BH21" s="275"/>
      <c r="BI21" s="272"/>
      <c r="BJ21" s="276"/>
      <c r="BK21" s="274"/>
      <c r="BL21" s="275"/>
      <c r="BM21" s="275"/>
      <c r="BN21" s="274"/>
      <c r="BO21" s="274"/>
      <c r="BP21" s="274"/>
      <c r="BQ21" s="275"/>
      <c r="BR21" s="275"/>
      <c r="BS21" s="272"/>
      <c r="BT21" s="259"/>
      <c r="BU21" s="277"/>
      <c r="BV21" s="50">
        <f>SUM(BT22:BT23)</f>
        <v>18</v>
      </c>
    </row>
    <row r="22" spans="2:77" s="45" customFormat="1" ht="20.25" outlineLevel="1">
      <c r="B22" s="479" t="s">
        <v>161</v>
      </c>
      <c r="C22" s="236" t="s">
        <v>65</v>
      </c>
      <c r="D22" s="237">
        <v>3</v>
      </c>
      <c r="E22" s="244" t="s">
        <v>67</v>
      </c>
      <c r="F22" s="237">
        <f>SUM(L22,Q22,V22,AA22,AF22,AK22,AP22,AU22,AZ22,BE22,BJ22,BO22)</f>
        <v>414</v>
      </c>
      <c r="G22" s="243">
        <f>SUM(H22:K22)</f>
        <v>221</v>
      </c>
      <c r="H22" s="237">
        <f>SUM(N22,S22,X22,AC22,AH22,AM22,AR22,AW22,BB22,BG22,BL22,BQ22)</f>
        <v>26</v>
      </c>
      <c r="I22" s="242">
        <f>SUM(O22,T22,Y22,AD22,AI22,AN22,AS22,AX22,BC22,BH22,BM22,BR22)-J22</f>
        <v>195</v>
      </c>
      <c r="J22" s="260"/>
      <c r="K22" s="244"/>
      <c r="L22" s="237">
        <v>108</v>
      </c>
      <c r="M22" s="242">
        <f>SUM(N22:O22)</f>
        <v>55</v>
      </c>
      <c r="N22" s="261">
        <v>4</v>
      </c>
      <c r="O22" s="261">
        <v>51</v>
      </c>
      <c r="P22" s="242">
        <v>3</v>
      </c>
      <c r="Q22" s="260">
        <v>198</v>
      </c>
      <c r="R22" s="242">
        <f>SUM(S22:T22)</f>
        <v>104</v>
      </c>
      <c r="S22" s="261">
        <v>14</v>
      </c>
      <c r="T22" s="261">
        <v>90</v>
      </c>
      <c r="U22" s="244">
        <v>6</v>
      </c>
      <c r="V22" s="260">
        <v>108</v>
      </c>
      <c r="W22" s="242">
        <f>SUM(X22:Y22)</f>
        <v>62</v>
      </c>
      <c r="X22" s="261">
        <v>8</v>
      </c>
      <c r="Y22" s="261">
        <v>54</v>
      </c>
      <c r="Z22" s="242">
        <v>3</v>
      </c>
      <c r="AA22" s="242"/>
      <c r="AB22" s="242"/>
      <c r="AC22" s="261"/>
      <c r="AD22" s="261"/>
      <c r="AE22" s="244"/>
      <c r="AF22" s="260"/>
      <c r="AG22" s="242"/>
      <c r="AH22" s="261"/>
      <c r="AI22" s="261"/>
      <c r="AJ22" s="242"/>
      <c r="AK22" s="242"/>
      <c r="AL22" s="242"/>
      <c r="AM22" s="261"/>
      <c r="AN22" s="261"/>
      <c r="AO22" s="244"/>
      <c r="AP22" s="260"/>
      <c r="AQ22" s="242"/>
      <c r="AR22" s="261"/>
      <c r="AS22" s="261"/>
      <c r="AT22" s="242"/>
      <c r="AU22" s="242"/>
      <c r="AV22" s="242"/>
      <c r="AW22" s="261"/>
      <c r="AX22" s="261"/>
      <c r="AY22" s="244"/>
      <c r="AZ22" s="260"/>
      <c r="BA22" s="242"/>
      <c r="BB22" s="261"/>
      <c r="BC22" s="261"/>
      <c r="BD22" s="242"/>
      <c r="BE22" s="242"/>
      <c r="BF22" s="242"/>
      <c r="BG22" s="261"/>
      <c r="BH22" s="261"/>
      <c r="BI22" s="244"/>
      <c r="BJ22" s="260"/>
      <c r="BK22" s="242"/>
      <c r="BL22" s="261"/>
      <c r="BM22" s="261"/>
      <c r="BN22" s="242"/>
      <c r="BO22" s="242"/>
      <c r="BP22" s="242"/>
      <c r="BQ22" s="261"/>
      <c r="BR22" s="261"/>
      <c r="BS22" s="244"/>
      <c r="BT22" s="247">
        <f t="shared" si="2"/>
        <v>12</v>
      </c>
      <c r="BU22" s="248" t="s">
        <v>306</v>
      </c>
      <c r="BW22" s="48"/>
      <c r="BX22" s="48"/>
      <c r="BY22" s="48"/>
    </row>
    <row r="23" spans="2:73" ht="42" customHeight="1" outlineLevel="1">
      <c r="B23" s="479" t="s">
        <v>165</v>
      </c>
      <c r="C23" s="236" t="s">
        <v>66</v>
      </c>
      <c r="D23" s="237">
        <v>3</v>
      </c>
      <c r="E23" s="244">
        <v>2</v>
      </c>
      <c r="F23" s="237">
        <f>SUM(L23,Q23,V23,AA23,AF23,AK23,AP23,AU23,AZ23,BE23,BJ23,BO23)</f>
        <v>222</v>
      </c>
      <c r="G23" s="243">
        <f>SUM(H23:K23)</f>
        <v>137</v>
      </c>
      <c r="H23" s="237">
        <f>SUM(N23,S23,X23,AC23,AH23,AM23,AR23,AW23,BB23,BG23,BL23,BQ23)</f>
        <v>32</v>
      </c>
      <c r="I23" s="242">
        <f>SUM(O23,T23,Y23,AD23,AI23,AN23,AS23,AX23,BC23,BH23,BM23,BR23)-J23</f>
        <v>105</v>
      </c>
      <c r="J23" s="260"/>
      <c r="K23" s="244"/>
      <c r="L23" s="237">
        <f>M23*1.45</f>
        <v>0</v>
      </c>
      <c r="M23" s="242">
        <f>SUM(N23:O23)</f>
        <v>0</v>
      </c>
      <c r="N23" s="261"/>
      <c r="O23" s="261"/>
      <c r="P23" s="242">
        <f>L23/36</f>
        <v>0</v>
      </c>
      <c r="Q23" s="260">
        <v>108</v>
      </c>
      <c r="R23" s="242">
        <f>SUM(S23:T23)</f>
        <v>67</v>
      </c>
      <c r="S23" s="261">
        <v>16</v>
      </c>
      <c r="T23" s="261">
        <v>51</v>
      </c>
      <c r="U23" s="244">
        <v>3</v>
      </c>
      <c r="V23" s="260">
        <v>114</v>
      </c>
      <c r="W23" s="242">
        <f>SUM(X23:Y23)</f>
        <v>70</v>
      </c>
      <c r="X23" s="261">
        <v>16</v>
      </c>
      <c r="Y23" s="261">
        <v>54</v>
      </c>
      <c r="Z23" s="242">
        <v>3</v>
      </c>
      <c r="AA23" s="242"/>
      <c r="AB23" s="242">
        <f>SUM(AC23:AD23)</f>
        <v>0</v>
      </c>
      <c r="AC23" s="261"/>
      <c r="AD23" s="261"/>
      <c r="AE23" s="244"/>
      <c r="AF23" s="260"/>
      <c r="AG23" s="242"/>
      <c r="AH23" s="261"/>
      <c r="AI23" s="261"/>
      <c r="AJ23" s="242"/>
      <c r="AK23" s="242"/>
      <c r="AL23" s="242"/>
      <c r="AM23" s="261"/>
      <c r="AN23" s="261"/>
      <c r="AO23" s="244"/>
      <c r="AP23" s="260"/>
      <c r="AQ23" s="242"/>
      <c r="AR23" s="261"/>
      <c r="AS23" s="261"/>
      <c r="AT23" s="242"/>
      <c r="AU23" s="242"/>
      <c r="AV23" s="242"/>
      <c r="AW23" s="261"/>
      <c r="AX23" s="261"/>
      <c r="AY23" s="244"/>
      <c r="AZ23" s="260"/>
      <c r="BA23" s="242"/>
      <c r="BB23" s="261"/>
      <c r="BC23" s="261"/>
      <c r="BD23" s="242"/>
      <c r="BE23" s="242"/>
      <c r="BF23" s="242"/>
      <c r="BG23" s="261"/>
      <c r="BH23" s="261"/>
      <c r="BI23" s="244"/>
      <c r="BJ23" s="260"/>
      <c r="BK23" s="242"/>
      <c r="BL23" s="261"/>
      <c r="BM23" s="261"/>
      <c r="BN23" s="242"/>
      <c r="BO23" s="242"/>
      <c r="BP23" s="242"/>
      <c r="BQ23" s="261"/>
      <c r="BR23" s="261"/>
      <c r="BS23" s="244"/>
      <c r="BT23" s="247">
        <f t="shared" si="2"/>
        <v>6</v>
      </c>
      <c r="BU23" s="248" t="s">
        <v>307</v>
      </c>
    </row>
    <row r="24" spans="2:74" ht="39" outlineLevel="1">
      <c r="B24" s="481" t="s">
        <v>163</v>
      </c>
      <c r="C24" s="270" t="s">
        <v>363</v>
      </c>
      <c r="D24" s="271"/>
      <c r="E24" s="272"/>
      <c r="F24" s="271"/>
      <c r="G24" s="273"/>
      <c r="H24" s="271"/>
      <c r="I24" s="274"/>
      <c r="J24" s="274"/>
      <c r="K24" s="272"/>
      <c r="L24" s="271"/>
      <c r="M24" s="274"/>
      <c r="N24" s="275"/>
      <c r="O24" s="275"/>
      <c r="P24" s="274"/>
      <c r="Q24" s="276"/>
      <c r="R24" s="274"/>
      <c r="S24" s="275"/>
      <c r="T24" s="275"/>
      <c r="U24" s="272"/>
      <c r="V24" s="276"/>
      <c r="W24" s="274"/>
      <c r="X24" s="275"/>
      <c r="Y24" s="275"/>
      <c r="Z24" s="274"/>
      <c r="AA24" s="276"/>
      <c r="AB24" s="274"/>
      <c r="AC24" s="275"/>
      <c r="AD24" s="275"/>
      <c r="AE24" s="272"/>
      <c r="AF24" s="276"/>
      <c r="AG24" s="274"/>
      <c r="AH24" s="275"/>
      <c r="AI24" s="275"/>
      <c r="AJ24" s="274"/>
      <c r="AK24" s="274"/>
      <c r="AL24" s="274"/>
      <c r="AM24" s="275"/>
      <c r="AN24" s="275"/>
      <c r="AO24" s="272"/>
      <c r="AP24" s="276"/>
      <c r="AQ24" s="274"/>
      <c r="AR24" s="275"/>
      <c r="AS24" s="275"/>
      <c r="AT24" s="274"/>
      <c r="AU24" s="274"/>
      <c r="AV24" s="274"/>
      <c r="AW24" s="275"/>
      <c r="AX24" s="275"/>
      <c r="AY24" s="272"/>
      <c r="AZ24" s="276"/>
      <c r="BA24" s="274"/>
      <c r="BB24" s="275"/>
      <c r="BC24" s="275"/>
      <c r="BD24" s="274"/>
      <c r="BE24" s="274"/>
      <c r="BF24" s="274"/>
      <c r="BG24" s="275"/>
      <c r="BH24" s="275"/>
      <c r="BI24" s="272"/>
      <c r="BJ24" s="276"/>
      <c r="BK24" s="274"/>
      <c r="BL24" s="275"/>
      <c r="BM24" s="275"/>
      <c r="BN24" s="274"/>
      <c r="BO24" s="274"/>
      <c r="BP24" s="274"/>
      <c r="BQ24" s="275"/>
      <c r="BR24" s="275"/>
      <c r="BS24" s="272"/>
      <c r="BT24" s="259"/>
      <c r="BU24" s="277"/>
      <c r="BV24" s="50">
        <f>SUM(BT25:BT26)</f>
        <v>16</v>
      </c>
    </row>
    <row r="25" spans="2:73" ht="19.5" outlineLevel="1">
      <c r="B25" s="477" t="s">
        <v>167</v>
      </c>
      <c r="C25" s="278" t="s">
        <v>62</v>
      </c>
      <c r="D25" s="279">
        <v>4</v>
      </c>
      <c r="E25" s="280">
        <v>3</v>
      </c>
      <c r="F25" s="279">
        <f>SUM(L25,Q25,V25,AA25,AF25,AK25,AP25,AU25,AZ25,BE25,BJ25,BO25)</f>
        <v>228</v>
      </c>
      <c r="G25" s="281">
        <f>SUM(H25:K25)</f>
        <v>149</v>
      </c>
      <c r="H25" s="279">
        <f>SUM(N25,S25,X25,AC25,AH25,AM25,AR25,AW25,BB25,BG25,BL25,BQ25)</f>
        <v>44</v>
      </c>
      <c r="I25" s="282">
        <f>SUM(O25,T25,Y25,AD25,AI25,AN25,AS25,AX25,BC25,BH25,BM25,BR25)</f>
        <v>105</v>
      </c>
      <c r="J25" s="282"/>
      <c r="K25" s="280"/>
      <c r="L25" s="279"/>
      <c r="M25" s="282">
        <f>SUM(N25:O25)</f>
        <v>0</v>
      </c>
      <c r="N25" s="283"/>
      <c r="O25" s="283"/>
      <c r="P25" s="282">
        <f>L25/36</f>
        <v>0</v>
      </c>
      <c r="Q25" s="282"/>
      <c r="R25" s="282">
        <f>SUM(S25:T25)</f>
        <v>0</v>
      </c>
      <c r="S25" s="283"/>
      <c r="T25" s="283"/>
      <c r="U25" s="280">
        <f>Q25/36</f>
        <v>0</v>
      </c>
      <c r="V25" s="284">
        <v>114</v>
      </c>
      <c r="W25" s="282">
        <f>SUM(X25:Y25)</f>
        <v>76</v>
      </c>
      <c r="X25" s="283">
        <v>22</v>
      </c>
      <c r="Y25" s="283">
        <v>54</v>
      </c>
      <c r="Z25" s="282">
        <v>3</v>
      </c>
      <c r="AA25" s="284">
        <v>114</v>
      </c>
      <c r="AB25" s="282">
        <f>SUM(AC25:AD25)</f>
        <v>73</v>
      </c>
      <c r="AC25" s="283">
        <v>22</v>
      </c>
      <c r="AD25" s="283">
        <v>51</v>
      </c>
      <c r="AE25" s="280">
        <v>3</v>
      </c>
      <c r="AF25" s="285"/>
      <c r="AG25" s="286"/>
      <c r="AH25" s="287"/>
      <c r="AI25" s="287"/>
      <c r="AJ25" s="286"/>
      <c r="AK25" s="286"/>
      <c r="AL25" s="286"/>
      <c r="AM25" s="287"/>
      <c r="AN25" s="287"/>
      <c r="AO25" s="288"/>
      <c r="AP25" s="285"/>
      <c r="AQ25" s="286"/>
      <c r="AR25" s="287"/>
      <c r="AS25" s="287"/>
      <c r="AT25" s="286"/>
      <c r="AU25" s="286"/>
      <c r="AV25" s="286"/>
      <c r="AW25" s="287"/>
      <c r="AX25" s="287"/>
      <c r="AY25" s="288"/>
      <c r="AZ25" s="285"/>
      <c r="BA25" s="286"/>
      <c r="BB25" s="287"/>
      <c r="BC25" s="287"/>
      <c r="BD25" s="286"/>
      <c r="BE25" s="286"/>
      <c r="BF25" s="286"/>
      <c r="BG25" s="287"/>
      <c r="BH25" s="287"/>
      <c r="BI25" s="288"/>
      <c r="BJ25" s="285"/>
      <c r="BK25" s="286"/>
      <c r="BL25" s="287"/>
      <c r="BM25" s="287"/>
      <c r="BN25" s="286"/>
      <c r="BO25" s="286"/>
      <c r="BP25" s="286"/>
      <c r="BQ25" s="287"/>
      <c r="BR25" s="287"/>
      <c r="BS25" s="288"/>
      <c r="BT25" s="247">
        <f t="shared" si="2"/>
        <v>6</v>
      </c>
      <c r="BU25" s="248" t="s">
        <v>308</v>
      </c>
    </row>
    <row r="26" spans="2:73" ht="37.5" outlineLevel="1">
      <c r="B26" s="479" t="s">
        <v>168</v>
      </c>
      <c r="C26" s="236" t="s">
        <v>68</v>
      </c>
      <c r="D26" s="237">
        <v>4</v>
      </c>
      <c r="E26" s="244">
        <v>3</v>
      </c>
      <c r="F26" s="237">
        <f>SUM(L26,Q26,V26,AA26,AF26,AK26,AP26,AU26,AZ26,BE26,BJ26,BO26)</f>
        <v>289</v>
      </c>
      <c r="G26" s="243">
        <f>SUM(H26:K26)</f>
        <v>194</v>
      </c>
      <c r="H26" s="237">
        <f>SUM(N26,S26,X26,AC26,AH26,AM26,AR26,AW26,BB26,BG26,BL26,BQ26)</f>
        <v>44</v>
      </c>
      <c r="I26" s="242"/>
      <c r="J26" s="242">
        <f>SUM(O26,T26,Y26,AD26,AI26,AN26,AS26,AX26,BC26,BH26,BM26,BR26)</f>
        <v>150</v>
      </c>
      <c r="K26" s="244"/>
      <c r="L26" s="237"/>
      <c r="M26" s="242"/>
      <c r="N26" s="261"/>
      <c r="O26" s="261"/>
      <c r="P26" s="242"/>
      <c r="Q26" s="242"/>
      <c r="R26" s="242"/>
      <c r="S26" s="261"/>
      <c r="T26" s="261"/>
      <c r="U26" s="244"/>
      <c r="V26" s="260">
        <v>151</v>
      </c>
      <c r="W26" s="242">
        <f>SUM(X26:Y26)</f>
        <v>104</v>
      </c>
      <c r="X26" s="261">
        <v>22</v>
      </c>
      <c r="Y26" s="261">
        <v>82</v>
      </c>
      <c r="Z26" s="242">
        <v>6</v>
      </c>
      <c r="AA26" s="260">
        <v>138</v>
      </c>
      <c r="AB26" s="242">
        <f>SUM(AC26:AD26)</f>
        <v>90</v>
      </c>
      <c r="AC26" s="261">
        <v>22</v>
      </c>
      <c r="AD26" s="261">
        <v>68</v>
      </c>
      <c r="AE26" s="244">
        <v>4</v>
      </c>
      <c r="AF26" s="260"/>
      <c r="AG26" s="242">
        <f>SUM(AH26:AI26)</f>
        <v>0</v>
      </c>
      <c r="AH26" s="261"/>
      <c r="AI26" s="261"/>
      <c r="AJ26" s="242">
        <f>AF26/36</f>
        <v>0</v>
      </c>
      <c r="AK26" s="242"/>
      <c r="AL26" s="242"/>
      <c r="AM26" s="261"/>
      <c r="AN26" s="261"/>
      <c r="AO26" s="244"/>
      <c r="AP26" s="260"/>
      <c r="AQ26" s="242"/>
      <c r="AR26" s="261"/>
      <c r="AS26" s="261"/>
      <c r="AT26" s="242"/>
      <c r="AU26" s="242"/>
      <c r="AV26" s="242"/>
      <c r="AW26" s="261"/>
      <c r="AX26" s="261"/>
      <c r="AY26" s="244"/>
      <c r="AZ26" s="260"/>
      <c r="BA26" s="242"/>
      <c r="BB26" s="261"/>
      <c r="BC26" s="261"/>
      <c r="BD26" s="242"/>
      <c r="BE26" s="242"/>
      <c r="BF26" s="242"/>
      <c r="BG26" s="261"/>
      <c r="BH26" s="261"/>
      <c r="BI26" s="244"/>
      <c r="BJ26" s="260"/>
      <c r="BK26" s="242"/>
      <c r="BL26" s="261"/>
      <c r="BM26" s="261"/>
      <c r="BN26" s="242"/>
      <c r="BO26" s="242"/>
      <c r="BP26" s="242"/>
      <c r="BQ26" s="261"/>
      <c r="BR26" s="261"/>
      <c r="BS26" s="244"/>
      <c r="BT26" s="247">
        <f t="shared" si="2"/>
        <v>10</v>
      </c>
      <c r="BU26" s="248" t="s">
        <v>309</v>
      </c>
    </row>
    <row r="27" spans="2:74" ht="39" outlineLevel="1">
      <c r="B27" s="481" t="s">
        <v>164</v>
      </c>
      <c r="C27" s="270" t="s">
        <v>362</v>
      </c>
      <c r="D27" s="271"/>
      <c r="E27" s="272"/>
      <c r="F27" s="271"/>
      <c r="G27" s="273"/>
      <c r="H27" s="271"/>
      <c r="I27" s="274"/>
      <c r="J27" s="274"/>
      <c r="K27" s="272"/>
      <c r="L27" s="271"/>
      <c r="M27" s="274"/>
      <c r="N27" s="275"/>
      <c r="O27" s="275"/>
      <c r="P27" s="274"/>
      <c r="Q27" s="276"/>
      <c r="R27" s="274"/>
      <c r="S27" s="275"/>
      <c r="T27" s="275"/>
      <c r="U27" s="272"/>
      <c r="V27" s="276"/>
      <c r="W27" s="274"/>
      <c r="X27" s="275"/>
      <c r="Y27" s="275"/>
      <c r="Z27" s="274"/>
      <c r="AA27" s="276"/>
      <c r="AB27" s="274"/>
      <c r="AC27" s="275"/>
      <c r="AD27" s="275"/>
      <c r="AE27" s="272"/>
      <c r="AF27" s="276"/>
      <c r="AG27" s="274"/>
      <c r="AH27" s="275"/>
      <c r="AI27" s="275"/>
      <c r="AJ27" s="274"/>
      <c r="AK27" s="274"/>
      <c r="AL27" s="274"/>
      <c r="AM27" s="275"/>
      <c r="AN27" s="275"/>
      <c r="AO27" s="272"/>
      <c r="AP27" s="276"/>
      <c r="AQ27" s="274"/>
      <c r="AR27" s="275"/>
      <c r="AS27" s="275"/>
      <c r="AT27" s="274"/>
      <c r="AU27" s="274"/>
      <c r="AV27" s="274"/>
      <c r="AW27" s="275"/>
      <c r="AX27" s="275"/>
      <c r="AY27" s="272"/>
      <c r="AZ27" s="276"/>
      <c r="BA27" s="274"/>
      <c r="BB27" s="275"/>
      <c r="BC27" s="275"/>
      <c r="BD27" s="274"/>
      <c r="BE27" s="274"/>
      <c r="BF27" s="274"/>
      <c r="BG27" s="275"/>
      <c r="BH27" s="275"/>
      <c r="BI27" s="272"/>
      <c r="BJ27" s="276"/>
      <c r="BK27" s="274"/>
      <c r="BL27" s="275"/>
      <c r="BM27" s="275"/>
      <c r="BN27" s="274"/>
      <c r="BO27" s="274"/>
      <c r="BP27" s="274"/>
      <c r="BQ27" s="275"/>
      <c r="BR27" s="275"/>
      <c r="BS27" s="272"/>
      <c r="BT27" s="259"/>
      <c r="BU27" s="277"/>
      <c r="BV27" s="50">
        <f>SUM(BT28:BT30)</f>
        <v>18</v>
      </c>
    </row>
    <row r="28" spans="2:73" ht="45" customHeight="1" outlineLevel="1">
      <c r="B28" s="479" t="s">
        <v>169</v>
      </c>
      <c r="C28" s="236" t="s">
        <v>129</v>
      </c>
      <c r="D28" s="237">
        <v>6</v>
      </c>
      <c r="E28" s="244">
        <v>5</v>
      </c>
      <c r="F28" s="237">
        <f>SUM(L28,Q28,V28,AA28,AF28,AK28,AP28,AU28,AZ28,BE28,BJ28,BO28)</f>
        <v>228</v>
      </c>
      <c r="G28" s="243">
        <f>SUM(H28:K28)</f>
        <v>116</v>
      </c>
      <c r="H28" s="237">
        <f aca="true" t="shared" si="3" ref="H28:I30">SUM(N28,S28,X28,AC28,AH28,AM28,AR28,AW28,BB28,BG28,BL28,BQ28)</f>
        <v>20</v>
      </c>
      <c r="I28" s="242">
        <f t="shared" si="3"/>
        <v>96</v>
      </c>
      <c r="J28" s="242"/>
      <c r="K28" s="244"/>
      <c r="L28" s="237"/>
      <c r="M28" s="242"/>
      <c r="N28" s="261"/>
      <c r="O28" s="261"/>
      <c r="P28" s="242"/>
      <c r="Q28" s="242"/>
      <c r="R28" s="242"/>
      <c r="S28" s="261"/>
      <c r="T28" s="261"/>
      <c r="U28" s="244"/>
      <c r="V28" s="260">
        <f>W28*1.4</f>
        <v>0</v>
      </c>
      <c r="W28" s="242">
        <f>SUM(X28:Y28)</f>
        <v>0</v>
      </c>
      <c r="X28" s="261"/>
      <c r="Y28" s="261"/>
      <c r="Z28" s="242">
        <f>V28/36</f>
        <v>0</v>
      </c>
      <c r="AA28" s="260">
        <f>AB28*1.4</f>
        <v>0</v>
      </c>
      <c r="AB28" s="242">
        <f>SUM(AC28:AD28)</f>
        <v>0</v>
      </c>
      <c r="AC28" s="261"/>
      <c r="AD28" s="261"/>
      <c r="AE28" s="244">
        <f>AA28/36</f>
        <v>0</v>
      </c>
      <c r="AF28" s="260">
        <v>120</v>
      </c>
      <c r="AG28" s="242">
        <f>SUM(AH28:AI28)</f>
        <v>65</v>
      </c>
      <c r="AH28" s="261">
        <v>11</v>
      </c>
      <c r="AI28" s="261">
        <v>54</v>
      </c>
      <c r="AJ28" s="242">
        <v>3</v>
      </c>
      <c r="AK28" s="242">
        <v>108</v>
      </c>
      <c r="AL28" s="242">
        <f>SUM(AM28:AN28)</f>
        <v>51</v>
      </c>
      <c r="AM28" s="261">
        <v>9</v>
      </c>
      <c r="AN28" s="261">
        <v>42</v>
      </c>
      <c r="AO28" s="244">
        <v>3</v>
      </c>
      <c r="AP28" s="260"/>
      <c r="AQ28" s="242">
        <f>SUM(AR28:AS28)</f>
        <v>0</v>
      </c>
      <c r="AR28" s="261"/>
      <c r="AS28" s="261"/>
      <c r="AT28" s="242"/>
      <c r="AU28" s="242"/>
      <c r="AV28" s="242"/>
      <c r="AW28" s="261"/>
      <c r="AX28" s="261"/>
      <c r="AY28" s="244"/>
      <c r="AZ28" s="260"/>
      <c r="BA28" s="242"/>
      <c r="BB28" s="261"/>
      <c r="BC28" s="261"/>
      <c r="BD28" s="242"/>
      <c r="BE28" s="242"/>
      <c r="BF28" s="242"/>
      <c r="BG28" s="261"/>
      <c r="BH28" s="261"/>
      <c r="BI28" s="244"/>
      <c r="BJ28" s="260"/>
      <c r="BK28" s="242"/>
      <c r="BL28" s="261"/>
      <c r="BM28" s="261"/>
      <c r="BN28" s="242"/>
      <c r="BO28" s="242"/>
      <c r="BP28" s="242"/>
      <c r="BQ28" s="261"/>
      <c r="BR28" s="261"/>
      <c r="BS28" s="244"/>
      <c r="BT28" s="247">
        <f t="shared" si="2"/>
        <v>6</v>
      </c>
      <c r="BU28" s="248" t="s">
        <v>310</v>
      </c>
    </row>
    <row r="29" spans="2:73" ht="45" customHeight="1" outlineLevel="1">
      <c r="B29" s="479" t="s">
        <v>170</v>
      </c>
      <c r="C29" s="236" t="s">
        <v>69</v>
      </c>
      <c r="D29" s="237">
        <v>6</v>
      </c>
      <c r="E29" s="244">
        <v>5</v>
      </c>
      <c r="F29" s="237">
        <f>SUM(L29,Q29,V29,AA29,AF29,AK29,AP29,AU29,AZ29,BE29,BJ29,BO29)</f>
        <v>228</v>
      </c>
      <c r="G29" s="243">
        <f>SUM(H29:K29)</f>
        <v>122</v>
      </c>
      <c r="H29" s="237">
        <f t="shared" si="3"/>
        <v>26</v>
      </c>
      <c r="I29" s="242">
        <f t="shared" si="3"/>
        <v>96</v>
      </c>
      <c r="J29" s="242"/>
      <c r="K29" s="244"/>
      <c r="L29" s="237"/>
      <c r="M29" s="242"/>
      <c r="N29" s="261"/>
      <c r="O29" s="261"/>
      <c r="P29" s="242"/>
      <c r="Q29" s="242"/>
      <c r="R29" s="242"/>
      <c r="S29" s="261"/>
      <c r="T29" s="261"/>
      <c r="U29" s="244"/>
      <c r="V29" s="260">
        <f>W29*1.4</f>
        <v>0</v>
      </c>
      <c r="W29" s="242">
        <f>SUM(X29:Y29)</f>
        <v>0</v>
      </c>
      <c r="X29" s="261"/>
      <c r="Y29" s="261"/>
      <c r="Z29" s="242">
        <f>V29/36</f>
        <v>0</v>
      </c>
      <c r="AA29" s="260">
        <f>AB29*1.4</f>
        <v>0</v>
      </c>
      <c r="AB29" s="242">
        <f>SUM(AC29:AD29)</f>
        <v>0</v>
      </c>
      <c r="AC29" s="261"/>
      <c r="AD29" s="261"/>
      <c r="AE29" s="244">
        <f>AA29/36</f>
        <v>0</v>
      </c>
      <c r="AF29" s="260">
        <v>120</v>
      </c>
      <c r="AG29" s="242">
        <f>SUM(AH29:AI29)</f>
        <v>65</v>
      </c>
      <c r="AH29" s="261">
        <v>14</v>
      </c>
      <c r="AI29" s="261">
        <v>51</v>
      </c>
      <c r="AJ29" s="242">
        <v>3</v>
      </c>
      <c r="AK29" s="242">
        <v>108</v>
      </c>
      <c r="AL29" s="242">
        <f>SUM(AM29:AN29)</f>
        <v>57</v>
      </c>
      <c r="AM29" s="261">
        <v>12</v>
      </c>
      <c r="AN29" s="261">
        <v>45</v>
      </c>
      <c r="AO29" s="244">
        <v>3</v>
      </c>
      <c r="AP29" s="260"/>
      <c r="AQ29" s="242"/>
      <c r="AR29" s="261"/>
      <c r="AS29" s="261"/>
      <c r="AT29" s="242"/>
      <c r="AU29" s="242"/>
      <c r="AV29" s="242"/>
      <c r="AW29" s="261"/>
      <c r="AX29" s="261"/>
      <c r="AY29" s="244"/>
      <c r="AZ29" s="260"/>
      <c r="BA29" s="242"/>
      <c r="BB29" s="261"/>
      <c r="BC29" s="261"/>
      <c r="BD29" s="242"/>
      <c r="BE29" s="242"/>
      <c r="BF29" s="242"/>
      <c r="BG29" s="261"/>
      <c r="BH29" s="261"/>
      <c r="BI29" s="244"/>
      <c r="BJ29" s="260"/>
      <c r="BK29" s="242"/>
      <c r="BL29" s="261"/>
      <c r="BM29" s="261"/>
      <c r="BN29" s="242"/>
      <c r="BO29" s="242"/>
      <c r="BP29" s="242"/>
      <c r="BQ29" s="261"/>
      <c r="BR29" s="261"/>
      <c r="BS29" s="244"/>
      <c r="BT29" s="247">
        <f t="shared" si="2"/>
        <v>6</v>
      </c>
      <c r="BU29" s="248" t="s">
        <v>311</v>
      </c>
    </row>
    <row r="30" spans="2:73" ht="24.75" customHeight="1" outlineLevel="1">
      <c r="B30" s="479" t="s">
        <v>171</v>
      </c>
      <c r="C30" s="236" t="s">
        <v>73</v>
      </c>
      <c r="D30" s="237">
        <v>6</v>
      </c>
      <c r="E30" s="244">
        <v>5</v>
      </c>
      <c r="F30" s="237">
        <f>SUM(L30,Q30,V30,AA30,AF30,AK30,AP30,AU30,AZ30,BE30,BJ30,BO30)</f>
        <v>234</v>
      </c>
      <c r="G30" s="243">
        <f>SUM(H30:K30)</f>
        <v>153</v>
      </c>
      <c r="H30" s="237">
        <f t="shared" si="3"/>
        <v>48</v>
      </c>
      <c r="I30" s="242">
        <f t="shared" si="3"/>
        <v>105</v>
      </c>
      <c r="J30" s="242"/>
      <c r="K30" s="244"/>
      <c r="L30" s="237"/>
      <c r="M30" s="242"/>
      <c r="N30" s="261"/>
      <c r="O30" s="261"/>
      <c r="P30" s="242"/>
      <c r="Q30" s="242"/>
      <c r="R30" s="242"/>
      <c r="S30" s="261"/>
      <c r="T30" s="261"/>
      <c r="U30" s="244"/>
      <c r="V30" s="260"/>
      <c r="W30" s="242"/>
      <c r="X30" s="261"/>
      <c r="Y30" s="261"/>
      <c r="Z30" s="242"/>
      <c r="AA30" s="242">
        <f>AB30*1.4</f>
        <v>0</v>
      </c>
      <c r="AB30" s="242">
        <f>SUM(AC30:AD30)</f>
        <v>0</v>
      </c>
      <c r="AC30" s="261"/>
      <c r="AD30" s="261"/>
      <c r="AE30" s="244">
        <f>AA30/36</f>
        <v>0</v>
      </c>
      <c r="AF30" s="260">
        <v>126</v>
      </c>
      <c r="AG30" s="242">
        <f>SUM(AH30:AI30)</f>
        <v>81</v>
      </c>
      <c r="AH30" s="261">
        <v>24</v>
      </c>
      <c r="AI30" s="261">
        <v>57</v>
      </c>
      <c r="AJ30" s="242">
        <v>3</v>
      </c>
      <c r="AK30" s="242">
        <v>108</v>
      </c>
      <c r="AL30" s="242">
        <f>SUM(AM30:AN30)</f>
        <v>72</v>
      </c>
      <c r="AM30" s="261">
        <v>24</v>
      </c>
      <c r="AN30" s="261">
        <v>48</v>
      </c>
      <c r="AO30" s="244">
        <v>3</v>
      </c>
      <c r="AP30" s="260"/>
      <c r="AQ30" s="242"/>
      <c r="AR30" s="261"/>
      <c r="AS30" s="261"/>
      <c r="AT30" s="242"/>
      <c r="AU30" s="242"/>
      <c r="AV30" s="242"/>
      <c r="AW30" s="261"/>
      <c r="AX30" s="261"/>
      <c r="AY30" s="244"/>
      <c r="AZ30" s="260"/>
      <c r="BA30" s="242"/>
      <c r="BB30" s="261"/>
      <c r="BC30" s="261"/>
      <c r="BD30" s="242"/>
      <c r="BE30" s="242"/>
      <c r="BF30" s="242"/>
      <c r="BG30" s="261"/>
      <c r="BH30" s="261"/>
      <c r="BI30" s="244"/>
      <c r="BJ30" s="260"/>
      <c r="BK30" s="242"/>
      <c r="BL30" s="261"/>
      <c r="BM30" s="261"/>
      <c r="BN30" s="242"/>
      <c r="BO30" s="242"/>
      <c r="BP30" s="242"/>
      <c r="BQ30" s="261"/>
      <c r="BR30" s="261"/>
      <c r="BS30" s="244"/>
      <c r="BT30" s="247">
        <f t="shared" si="2"/>
        <v>6</v>
      </c>
      <c r="BU30" s="248" t="s">
        <v>312</v>
      </c>
    </row>
    <row r="31" spans="2:75" ht="39" outlineLevel="1">
      <c r="B31" s="480" t="s">
        <v>189</v>
      </c>
      <c r="C31" s="219" t="s">
        <v>207</v>
      </c>
      <c r="D31" s="289"/>
      <c r="E31" s="290"/>
      <c r="F31" s="291"/>
      <c r="G31" s="223"/>
      <c r="H31" s="291"/>
      <c r="I31" s="292"/>
      <c r="J31" s="292"/>
      <c r="K31" s="223"/>
      <c r="L31" s="293"/>
      <c r="M31" s="294"/>
      <c r="N31" s="294"/>
      <c r="O31" s="294"/>
      <c r="P31" s="228"/>
      <c r="Q31" s="295"/>
      <c r="R31" s="294"/>
      <c r="S31" s="294"/>
      <c r="T31" s="294"/>
      <c r="U31" s="229"/>
      <c r="V31" s="296"/>
      <c r="W31" s="294"/>
      <c r="X31" s="294"/>
      <c r="Y31" s="294"/>
      <c r="Z31" s="227"/>
      <c r="AA31" s="294"/>
      <c r="AB31" s="294"/>
      <c r="AC31" s="294"/>
      <c r="AD31" s="294"/>
      <c r="AE31" s="229"/>
      <c r="AF31" s="297"/>
      <c r="AG31" s="298"/>
      <c r="AH31" s="298"/>
      <c r="AI31" s="298"/>
      <c r="AJ31" s="232"/>
      <c r="AK31" s="298"/>
      <c r="AL31" s="298"/>
      <c r="AM31" s="298"/>
      <c r="AN31" s="298"/>
      <c r="AO31" s="233"/>
      <c r="AP31" s="297"/>
      <c r="AQ31" s="298"/>
      <c r="AR31" s="298"/>
      <c r="AS31" s="298"/>
      <c r="AT31" s="232"/>
      <c r="AU31" s="298"/>
      <c r="AV31" s="298"/>
      <c r="AW31" s="298"/>
      <c r="AX31" s="298"/>
      <c r="AY31" s="233"/>
      <c r="AZ31" s="297"/>
      <c r="BA31" s="298"/>
      <c r="BB31" s="298"/>
      <c r="BC31" s="298"/>
      <c r="BD31" s="232"/>
      <c r="BE31" s="298"/>
      <c r="BF31" s="298"/>
      <c r="BG31" s="298"/>
      <c r="BH31" s="298"/>
      <c r="BI31" s="233"/>
      <c r="BJ31" s="297"/>
      <c r="BK31" s="298"/>
      <c r="BL31" s="298"/>
      <c r="BM31" s="298"/>
      <c r="BN31" s="232"/>
      <c r="BO31" s="298"/>
      <c r="BP31" s="298"/>
      <c r="BQ31" s="298"/>
      <c r="BR31" s="298"/>
      <c r="BS31" s="233"/>
      <c r="BT31" s="259"/>
      <c r="BU31" s="299"/>
      <c r="BV31" s="50">
        <f>SUM(BT33:BT33)</f>
        <v>3</v>
      </c>
      <c r="BW31" s="49"/>
    </row>
    <row r="32" spans="2:75" ht="20.25" outlineLevel="1">
      <c r="B32" s="479" t="s">
        <v>243</v>
      </c>
      <c r="C32" s="236" t="s">
        <v>337</v>
      </c>
      <c r="D32" s="237"/>
      <c r="E32" s="267">
        <v>1</v>
      </c>
      <c r="F32" s="237">
        <f>SUM(L32,Q32,V32,AA32,AF32,AK32,AP32,AU32,AZ32,BE32,BJ32,BO32)</f>
        <v>90</v>
      </c>
      <c r="G32" s="265">
        <f>SUM(H32:K32)</f>
        <v>44</v>
      </c>
      <c r="H32" s="264">
        <f>SUM(N32,S32,X32,AC32,AH32,AM32,AR32,AW32,BB32,BG32,BL32,BQ32)</f>
        <v>8</v>
      </c>
      <c r="I32" s="263">
        <f>SUM(O32,T32,Y32,AD32,AI32,AN32,AS32,AX32,BC32,BH32,BM32,BR32)</f>
        <v>36</v>
      </c>
      <c r="J32" s="263"/>
      <c r="K32" s="267"/>
      <c r="L32" s="263">
        <v>90</v>
      </c>
      <c r="M32" s="263">
        <f>SUM(N32:O32)</f>
        <v>44</v>
      </c>
      <c r="N32" s="263">
        <v>8</v>
      </c>
      <c r="O32" s="263">
        <v>36</v>
      </c>
      <c r="P32" s="242">
        <v>3</v>
      </c>
      <c r="Q32" s="269"/>
      <c r="R32" s="263">
        <f>SUM(S32:T32)</f>
        <v>0</v>
      </c>
      <c r="S32" s="263"/>
      <c r="T32" s="263"/>
      <c r="U32" s="244"/>
      <c r="V32" s="269"/>
      <c r="W32" s="263"/>
      <c r="X32" s="268"/>
      <c r="Y32" s="268"/>
      <c r="Z32" s="242"/>
      <c r="AA32" s="263"/>
      <c r="AB32" s="263"/>
      <c r="AC32" s="268"/>
      <c r="AD32" s="268"/>
      <c r="AE32" s="244"/>
      <c r="AF32" s="300"/>
      <c r="AG32" s="301"/>
      <c r="AH32" s="302"/>
      <c r="AI32" s="302"/>
      <c r="AJ32" s="246"/>
      <c r="AK32" s="301"/>
      <c r="AL32" s="301"/>
      <c r="AM32" s="302"/>
      <c r="AN32" s="302"/>
      <c r="AO32" s="213"/>
      <c r="AP32" s="300"/>
      <c r="AQ32" s="301"/>
      <c r="AR32" s="302"/>
      <c r="AS32" s="302"/>
      <c r="AT32" s="246"/>
      <c r="AU32" s="301"/>
      <c r="AV32" s="301"/>
      <c r="AW32" s="302"/>
      <c r="AX32" s="302"/>
      <c r="AY32" s="213"/>
      <c r="AZ32" s="300"/>
      <c r="BA32" s="301"/>
      <c r="BB32" s="302"/>
      <c r="BC32" s="302"/>
      <c r="BD32" s="246"/>
      <c r="BE32" s="301"/>
      <c r="BF32" s="301"/>
      <c r="BG32" s="302"/>
      <c r="BH32" s="302"/>
      <c r="BI32" s="213"/>
      <c r="BJ32" s="300"/>
      <c r="BK32" s="301"/>
      <c r="BL32" s="302"/>
      <c r="BM32" s="302"/>
      <c r="BN32" s="246"/>
      <c r="BO32" s="301"/>
      <c r="BP32" s="301"/>
      <c r="BQ32" s="302"/>
      <c r="BR32" s="302"/>
      <c r="BS32" s="213"/>
      <c r="BT32" s="247">
        <f>SUM(P32,U32,Z32,AE32,AJ32,AO32,AT32,AY32,BD32,BI32,BN32,BS32)</f>
        <v>3</v>
      </c>
      <c r="BU32" s="248" t="s">
        <v>345</v>
      </c>
      <c r="BV32" s="50"/>
      <c r="BW32" s="49"/>
    </row>
    <row r="33" spans="2:77" ht="41.25" customHeight="1" outlineLevel="1">
      <c r="B33" s="479" t="s">
        <v>338</v>
      </c>
      <c r="C33" s="236" t="s">
        <v>61</v>
      </c>
      <c r="D33" s="237">
        <v>2</v>
      </c>
      <c r="E33" s="267"/>
      <c r="F33" s="237">
        <f>SUM(L33,Q33,V33,AA33,AF33,AK33,AP33,AU33,AZ33,BE33,BJ33,BO33)</f>
        <v>108</v>
      </c>
      <c r="G33" s="265">
        <f>SUM(H33:K33)</f>
        <v>66</v>
      </c>
      <c r="H33" s="264">
        <f>SUM(N33,S33,X33,AC33,AH33,AM33,AR33,AW33,BB33,BG33,BL33,BQ33)</f>
        <v>12</v>
      </c>
      <c r="I33" s="263">
        <f>SUM(O33,T33,Y33,AD33,AI33,AN33,AS33,AX33,BC33,BH33,BM33,BR33)</f>
        <v>54</v>
      </c>
      <c r="J33" s="263"/>
      <c r="K33" s="267"/>
      <c r="L33" s="264"/>
      <c r="M33" s="263">
        <f>SUM(N33:O33)</f>
        <v>0</v>
      </c>
      <c r="N33" s="268"/>
      <c r="O33" s="268"/>
      <c r="P33" s="242">
        <f>L33/36</f>
        <v>0</v>
      </c>
      <c r="Q33" s="263">
        <v>108</v>
      </c>
      <c r="R33" s="263">
        <f>SUM(S33:T33)</f>
        <v>66</v>
      </c>
      <c r="S33" s="263">
        <v>12</v>
      </c>
      <c r="T33" s="263">
        <v>54</v>
      </c>
      <c r="U33" s="244">
        <v>3</v>
      </c>
      <c r="V33" s="269"/>
      <c r="W33" s="263"/>
      <c r="X33" s="268"/>
      <c r="Y33" s="268"/>
      <c r="Z33" s="242"/>
      <c r="AA33" s="263"/>
      <c r="AB33" s="263"/>
      <c r="AC33" s="268"/>
      <c r="AD33" s="268"/>
      <c r="AE33" s="244"/>
      <c r="AF33" s="300"/>
      <c r="AG33" s="301"/>
      <c r="AH33" s="302"/>
      <c r="AI33" s="302"/>
      <c r="AJ33" s="246"/>
      <c r="AK33" s="301"/>
      <c r="AL33" s="301"/>
      <c r="AM33" s="302"/>
      <c r="AN33" s="302"/>
      <c r="AO33" s="213"/>
      <c r="AP33" s="300"/>
      <c r="AQ33" s="301"/>
      <c r="AR33" s="302"/>
      <c r="AS33" s="302"/>
      <c r="AT33" s="246"/>
      <c r="AU33" s="301"/>
      <c r="AV33" s="301"/>
      <c r="AW33" s="302"/>
      <c r="AX33" s="302"/>
      <c r="AY33" s="213"/>
      <c r="AZ33" s="300"/>
      <c r="BA33" s="301"/>
      <c r="BB33" s="302"/>
      <c r="BC33" s="302"/>
      <c r="BD33" s="246"/>
      <c r="BE33" s="301"/>
      <c r="BF33" s="301"/>
      <c r="BG33" s="302"/>
      <c r="BH33" s="302"/>
      <c r="BI33" s="213"/>
      <c r="BJ33" s="300"/>
      <c r="BK33" s="301"/>
      <c r="BL33" s="302"/>
      <c r="BM33" s="302"/>
      <c r="BN33" s="246"/>
      <c r="BO33" s="301"/>
      <c r="BP33" s="301"/>
      <c r="BQ33" s="302"/>
      <c r="BR33" s="302"/>
      <c r="BS33" s="213"/>
      <c r="BT33" s="247">
        <f t="shared" si="2"/>
        <v>3</v>
      </c>
      <c r="BU33" s="248" t="s">
        <v>313</v>
      </c>
      <c r="BX33" s="48">
        <f>BM33/7</f>
        <v>0</v>
      </c>
      <c r="BY33" s="48">
        <f>BR33/7</f>
        <v>0</v>
      </c>
    </row>
    <row r="34" spans="2:74" ht="39" outlineLevel="1">
      <c r="B34" s="480" t="s">
        <v>190</v>
      </c>
      <c r="C34" s="303" t="s">
        <v>526</v>
      </c>
      <c r="D34" s="289"/>
      <c r="E34" s="304"/>
      <c r="F34" s="289"/>
      <c r="G34" s="305"/>
      <c r="H34" s="306"/>
      <c r="I34" s="307"/>
      <c r="J34" s="308"/>
      <c r="K34" s="304"/>
      <c r="L34" s="289"/>
      <c r="M34" s="307"/>
      <c r="N34" s="309"/>
      <c r="O34" s="309"/>
      <c r="P34" s="310"/>
      <c r="Q34" s="311"/>
      <c r="R34" s="311"/>
      <c r="S34" s="309"/>
      <c r="T34" s="309"/>
      <c r="U34" s="223"/>
      <c r="V34" s="311"/>
      <c r="W34" s="310"/>
      <c r="X34" s="312"/>
      <c r="Y34" s="312"/>
      <c r="Z34" s="310"/>
      <c r="AA34" s="307"/>
      <c r="AB34" s="307"/>
      <c r="AC34" s="309"/>
      <c r="AD34" s="309"/>
      <c r="AE34" s="313"/>
      <c r="AF34" s="308"/>
      <c r="AG34" s="307"/>
      <c r="AH34" s="309"/>
      <c r="AI34" s="309"/>
      <c r="AJ34" s="310"/>
      <c r="AK34" s="307"/>
      <c r="AL34" s="307"/>
      <c r="AM34" s="309"/>
      <c r="AN34" s="309"/>
      <c r="AO34" s="313"/>
      <c r="AP34" s="308"/>
      <c r="AQ34" s="307"/>
      <c r="AR34" s="309"/>
      <c r="AS34" s="309"/>
      <c r="AT34" s="310"/>
      <c r="AU34" s="307"/>
      <c r="AV34" s="307"/>
      <c r="AW34" s="309"/>
      <c r="AX34" s="309"/>
      <c r="AY34" s="313"/>
      <c r="AZ34" s="308"/>
      <c r="BA34" s="307"/>
      <c r="BB34" s="309"/>
      <c r="BC34" s="309"/>
      <c r="BD34" s="310"/>
      <c r="BE34" s="307"/>
      <c r="BF34" s="307"/>
      <c r="BG34" s="309"/>
      <c r="BH34" s="309"/>
      <c r="BI34" s="313"/>
      <c r="BJ34" s="308"/>
      <c r="BK34" s="307"/>
      <c r="BL34" s="309"/>
      <c r="BM34" s="309"/>
      <c r="BN34" s="310"/>
      <c r="BO34" s="307"/>
      <c r="BP34" s="307"/>
      <c r="BQ34" s="309"/>
      <c r="BR34" s="309"/>
      <c r="BS34" s="313"/>
      <c r="BT34" s="259"/>
      <c r="BU34" s="314"/>
      <c r="BV34" s="50">
        <f>SUM(BT35:BT39)</f>
        <v>15</v>
      </c>
    </row>
    <row r="35" spans="2:77" ht="19.5" outlineLevel="1">
      <c r="B35" s="479" t="s">
        <v>210</v>
      </c>
      <c r="C35" s="236" t="s">
        <v>109</v>
      </c>
      <c r="D35" s="237"/>
      <c r="E35" s="267">
        <v>2</v>
      </c>
      <c r="F35" s="237">
        <f>SUM(L35,Q35,V35,AA35,AF35,AK35,AP35,AU35,AZ35,BE35,BJ35,BO35)</f>
        <v>90</v>
      </c>
      <c r="G35" s="265">
        <f>SUM(H35:K35)</f>
        <v>34</v>
      </c>
      <c r="H35" s="264">
        <f>SUM(N35,S35,X35,AC35,AH35,AM35,AR35,AW35,BB35,BG35,BL35,BQ35)</f>
        <v>18</v>
      </c>
      <c r="I35" s="263"/>
      <c r="J35" s="263"/>
      <c r="K35" s="267">
        <f>SUM(O35,T35,Y35,AD35,AI35,AN35,AS35,AX35,BC35,BH35,BM35,BR35)</f>
        <v>16</v>
      </c>
      <c r="L35" s="237">
        <f>M35*1.8</f>
        <v>0</v>
      </c>
      <c r="M35" s="263">
        <f>SUM(N35:O35)</f>
        <v>0</v>
      </c>
      <c r="N35" s="268"/>
      <c r="O35" s="268"/>
      <c r="P35" s="242">
        <f>L35/36</f>
        <v>0</v>
      </c>
      <c r="Q35" s="260">
        <v>90</v>
      </c>
      <c r="R35" s="263">
        <f>SUM(S35:T35)</f>
        <v>34</v>
      </c>
      <c r="S35" s="268">
        <v>18</v>
      </c>
      <c r="T35" s="268">
        <v>16</v>
      </c>
      <c r="U35" s="244">
        <v>3</v>
      </c>
      <c r="V35" s="260">
        <f>W35*1.6</f>
        <v>0</v>
      </c>
      <c r="W35" s="263">
        <f>SUM(X35:Y35)</f>
        <v>0</v>
      </c>
      <c r="X35" s="268"/>
      <c r="Y35" s="268"/>
      <c r="Z35" s="242">
        <f>V35/36</f>
        <v>0</v>
      </c>
      <c r="AA35" s="263"/>
      <c r="AB35" s="263"/>
      <c r="AC35" s="268"/>
      <c r="AD35" s="268"/>
      <c r="AE35" s="244"/>
      <c r="AF35" s="269"/>
      <c r="AG35" s="263"/>
      <c r="AH35" s="268"/>
      <c r="AI35" s="268"/>
      <c r="AJ35" s="242"/>
      <c r="AK35" s="263"/>
      <c r="AL35" s="263"/>
      <c r="AM35" s="268"/>
      <c r="AN35" s="268"/>
      <c r="AO35" s="244"/>
      <c r="AP35" s="269"/>
      <c r="AQ35" s="263"/>
      <c r="AR35" s="268"/>
      <c r="AS35" s="268"/>
      <c r="AT35" s="242"/>
      <c r="AU35" s="263"/>
      <c r="AV35" s="263"/>
      <c r="AW35" s="268"/>
      <c r="AX35" s="268"/>
      <c r="AY35" s="244"/>
      <c r="AZ35" s="269"/>
      <c r="BA35" s="263"/>
      <c r="BB35" s="268"/>
      <c r="BC35" s="268"/>
      <c r="BD35" s="242"/>
      <c r="BE35" s="263"/>
      <c r="BF35" s="263"/>
      <c r="BG35" s="268"/>
      <c r="BH35" s="268"/>
      <c r="BI35" s="244"/>
      <c r="BJ35" s="269"/>
      <c r="BK35" s="263"/>
      <c r="BL35" s="268"/>
      <c r="BM35" s="268"/>
      <c r="BN35" s="242"/>
      <c r="BO35" s="263"/>
      <c r="BP35" s="263"/>
      <c r="BQ35" s="268"/>
      <c r="BR35" s="268"/>
      <c r="BS35" s="244"/>
      <c r="BT35" s="247">
        <f t="shared" si="2"/>
        <v>3</v>
      </c>
      <c r="BU35" s="248" t="s">
        <v>405</v>
      </c>
      <c r="BX35" s="48">
        <f>BM35/7</f>
        <v>0</v>
      </c>
      <c r="BY35" s="48">
        <f>BR35/7</f>
        <v>0</v>
      </c>
    </row>
    <row r="36" spans="2:77" ht="37.5" outlineLevel="1">
      <c r="B36" s="479" t="s">
        <v>244</v>
      </c>
      <c r="C36" s="236" t="s">
        <v>346</v>
      </c>
      <c r="D36" s="237">
        <v>2</v>
      </c>
      <c r="E36" s="267"/>
      <c r="F36" s="237">
        <f>SUM(L36,Q36,V36,AA36,AF36,AK36,AP36,AU36,AZ36,BE36,BJ36,BO36)</f>
        <v>108</v>
      </c>
      <c r="G36" s="265">
        <f>SUM(H36:K36)</f>
        <v>59</v>
      </c>
      <c r="H36" s="264">
        <f>SUM(N36,S36,X36,AC36,AH36,AM36,AR36,AW36,BB36,BG36,BL36,BQ36)</f>
        <v>14</v>
      </c>
      <c r="I36" s="263"/>
      <c r="J36" s="263"/>
      <c r="K36" s="267">
        <f>SUM(O36,T36,Y36,AD36,AI36,AN36,AS36,AX36,BC36,BH36,BM36,BR36)</f>
        <v>45</v>
      </c>
      <c r="L36" s="237"/>
      <c r="M36" s="263"/>
      <c r="N36" s="268"/>
      <c r="O36" s="268"/>
      <c r="P36" s="242"/>
      <c r="Q36" s="260">
        <v>108</v>
      </c>
      <c r="R36" s="263">
        <f>SUM(S36:T36)</f>
        <v>59</v>
      </c>
      <c r="S36" s="268">
        <v>14</v>
      </c>
      <c r="T36" s="268">
        <v>45</v>
      </c>
      <c r="U36" s="244">
        <v>3</v>
      </c>
      <c r="V36" s="260"/>
      <c r="W36" s="263">
        <f>SUM(X36:Y36)</f>
        <v>0</v>
      </c>
      <c r="X36" s="268"/>
      <c r="Y36" s="268"/>
      <c r="Z36" s="242"/>
      <c r="AA36" s="263"/>
      <c r="AB36" s="263">
        <f>SUM(AC36:AD36)</f>
        <v>0</v>
      </c>
      <c r="AC36" s="268"/>
      <c r="AD36" s="268"/>
      <c r="AE36" s="244"/>
      <c r="AF36" s="269"/>
      <c r="AG36" s="263"/>
      <c r="AH36" s="268"/>
      <c r="AI36" s="268"/>
      <c r="AJ36" s="242"/>
      <c r="AK36" s="263"/>
      <c r="AL36" s="263"/>
      <c r="AM36" s="268"/>
      <c r="AN36" s="268"/>
      <c r="AO36" s="244"/>
      <c r="AP36" s="269"/>
      <c r="AQ36" s="263"/>
      <c r="AR36" s="268"/>
      <c r="AS36" s="268"/>
      <c r="AT36" s="242"/>
      <c r="AU36" s="263"/>
      <c r="AV36" s="263"/>
      <c r="AW36" s="268"/>
      <c r="AX36" s="268"/>
      <c r="AY36" s="244"/>
      <c r="AZ36" s="269"/>
      <c r="BA36" s="263"/>
      <c r="BB36" s="268"/>
      <c r="BC36" s="268"/>
      <c r="BD36" s="242"/>
      <c r="BE36" s="263"/>
      <c r="BF36" s="263"/>
      <c r="BG36" s="268"/>
      <c r="BH36" s="268"/>
      <c r="BI36" s="244"/>
      <c r="BJ36" s="269"/>
      <c r="BK36" s="263"/>
      <c r="BL36" s="268"/>
      <c r="BM36" s="268"/>
      <c r="BN36" s="242"/>
      <c r="BO36" s="263"/>
      <c r="BP36" s="263"/>
      <c r="BQ36" s="268"/>
      <c r="BR36" s="268"/>
      <c r="BS36" s="244"/>
      <c r="BT36" s="247">
        <f t="shared" si="2"/>
        <v>3</v>
      </c>
      <c r="BU36" s="248" t="s">
        <v>372</v>
      </c>
      <c r="BX36" s="48">
        <f>BM36/7</f>
        <v>0</v>
      </c>
      <c r="BY36" s="48">
        <f>BR36/7</f>
        <v>0</v>
      </c>
    </row>
    <row r="37" spans="2:73" ht="85.5" customHeight="1" outlineLevel="1">
      <c r="B37" s="481" t="s">
        <v>191</v>
      </c>
      <c r="C37" s="303" t="s">
        <v>347</v>
      </c>
      <c r="D37" s="289"/>
      <c r="E37" s="304"/>
      <c r="F37" s="289"/>
      <c r="G37" s="305"/>
      <c r="H37" s="306"/>
      <c r="I37" s="307"/>
      <c r="J37" s="308"/>
      <c r="K37" s="304"/>
      <c r="L37" s="289"/>
      <c r="M37" s="307"/>
      <c r="N37" s="309"/>
      <c r="O37" s="309"/>
      <c r="P37" s="315"/>
      <c r="Q37" s="311"/>
      <c r="R37" s="307"/>
      <c r="S37" s="309"/>
      <c r="T37" s="309"/>
      <c r="U37" s="223"/>
      <c r="V37" s="311"/>
      <c r="W37" s="307"/>
      <c r="X37" s="309"/>
      <c r="Y37" s="309"/>
      <c r="Z37" s="225"/>
      <c r="AA37" s="307"/>
      <c r="AB37" s="307"/>
      <c r="AC37" s="309"/>
      <c r="AD37" s="309"/>
      <c r="AE37" s="313"/>
      <c r="AF37" s="308"/>
      <c r="AG37" s="307"/>
      <c r="AH37" s="309"/>
      <c r="AI37" s="309"/>
      <c r="AJ37" s="310"/>
      <c r="AK37" s="307"/>
      <c r="AL37" s="307"/>
      <c r="AM37" s="309"/>
      <c r="AN37" s="309"/>
      <c r="AO37" s="313"/>
      <c r="AP37" s="308"/>
      <c r="AQ37" s="307"/>
      <c r="AR37" s="309"/>
      <c r="AS37" s="309"/>
      <c r="AT37" s="310"/>
      <c r="AU37" s="307"/>
      <c r="AV37" s="307"/>
      <c r="AW37" s="309"/>
      <c r="AX37" s="309"/>
      <c r="AY37" s="313"/>
      <c r="AZ37" s="308"/>
      <c r="BA37" s="307"/>
      <c r="BB37" s="309"/>
      <c r="BC37" s="309"/>
      <c r="BD37" s="310"/>
      <c r="BE37" s="307"/>
      <c r="BF37" s="307"/>
      <c r="BG37" s="309"/>
      <c r="BH37" s="309"/>
      <c r="BI37" s="313"/>
      <c r="BJ37" s="308"/>
      <c r="BK37" s="307"/>
      <c r="BL37" s="309"/>
      <c r="BM37" s="309"/>
      <c r="BN37" s="310"/>
      <c r="BO37" s="307"/>
      <c r="BP37" s="307"/>
      <c r="BQ37" s="309"/>
      <c r="BR37" s="309"/>
      <c r="BS37" s="313"/>
      <c r="BT37" s="259">
        <v>3</v>
      </c>
      <c r="BU37" s="316" t="s">
        <v>412</v>
      </c>
    </row>
    <row r="38" spans="2:77" ht="42" customHeight="1" outlineLevel="1">
      <c r="B38" s="477" t="s">
        <v>245</v>
      </c>
      <c r="C38" s="236" t="s">
        <v>172</v>
      </c>
      <c r="D38" s="237"/>
      <c r="E38" s="267">
        <v>1</v>
      </c>
      <c r="F38" s="237">
        <f>SUM(L38,Q38,V38,AA38,AF38,AK38,AP38,AU38,AZ38,BE38,BJ38,BO38)</f>
        <v>90</v>
      </c>
      <c r="G38" s="265">
        <f>SUM(H38:K38)</f>
        <v>36</v>
      </c>
      <c r="H38" s="264">
        <f>SUM(N38,S38,X38,AC38,AH38,AM38,AR38,AW38,BB38,BG38,BL38,BQ38)</f>
        <v>0</v>
      </c>
      <c r="I38" s="263">
        <f>SUM(O38,T38,Y38,AD38,AI38,AN38,AS38,AX38,BC38,BH38,BM38,BR38)-J38</f>
        <v>0</v>
      </c>
      <c r="J38" s="269">
        <f>SUM(O38,T38,Y38,AD38,AI38,AN38,AS38,AX38,BC38,BH38,BM38,BR38)</f>
        <v>36</v>
      </c>
      <c r="K38" s="267"/>
      <c r="L38" s="264">
        <v>90</v>
      </c>
      <c r="M38" s="263">
        <f>SUM(N38:O38)</f>
        <v>36</v>
      </c>
      <c r="N38" s="268"/>
      <c r="O38" s="268">
        <v>36</v>
      </c>
      <c r="P38" s="255">
        <v>3</v>
      </c>
      <c r="Q38" s="269"/>
      <c r="R38" s="263">
        <f>SUM(S38:T38)</f>
        <v>0</v>
      </c>
      <c r="S38" s="268"/>
      <c r="T38" s="268"/>
      <c r="U38" s="244"/>
      <c r="V38" s="269"/>
      <c r="W38" s="263"/>
      <c r="X38" s="268"/>
      <c r="Y38" s="268"/>
      <c r="Z38" s="242"/>
      <c r="AA38" s="263"/>
      <c r="AB38" s="263"/>
      <c r="AC38" s="268"/>
      <c r="AD38" s="268"/>
      <c r="AE38" s="244"/>
      <c r="AF38" s="300"/>
      <c r="AG38" s="301"/>
      <c r="AH38" s="302"/>
      <c r="AI38" s="302"/>
      <c r="AJ38" s="246"/>
      <c r="AK38" s="301"/>
      <c r="AL38" s="301"/>
      <c r="AM38" s="302"/>
      <c r="AN38" s="302"/>
      <c r="AO38" s="213"/>
      <c r="AP38" s="300"/>
      <c r="AQ38" s="301"/>
      <c r="AR38" s="302"/>
      <c r="AS38" s="302"/>
      <c r="AT38" s="246"/>
      <c r="AU38" s="301"/>
      <c r="AV38" s="301"/>
      <c r="AW38" s="302"/>
      <c r="AX38" s="302"/>
      <c r="AY38" s="213"/>
      <c r="AZ38" s="300"/>
      <c r="BA38" s="301"/>
      <c r="BB38" s="302"/>
      <c r="BC38" s="302"/>
      <c r="BD38" s="246"/>
      <c r="BE38" s="301"/>
      <c r="BF38" s="301"/>
      <c r="BG38" s="302"/>
      <c r="BH38" s="302"/>
      <c r="BI38" s="213"/>
      <c r="BJ38" s="300"/>
      <c r="BK38" s="301"/>
      <c r="BL38" s="302"/>
      <c r="BM38" s="302"/>
      <c r="BN38" s="246"/>
      <c r="BO38" s="301"/>
      <c r="BP38" s="301"/>
      <c r="BQ38" s="302"/>
      <c r="BR38" s="302"/>
      <c r="BS38" s="213"/>
      <c r="BT38" s="247">
        <f t="shared" si="2"/>
        <v>3</v>
      </c>
      <c r="BU38" s="248"/>
      <c r="BX38" s="48">
        <f>BM38/7</f>
        <v>0</v>
      </c>
      <c r="BY38" s="48">
        <f>BR38/7</f>
        <v>0</v>
      </c>
    </row>
    <row r="39" spans="2:77" ht="45" customHeight="1" outlineLevel="1">
      <c r="B39" s="479" t="s">
        <v>246</v>
      </c>
      <c r="C39" s="317" t="s">
        <v>200</v>
      </c>
      <c r="D39" s="237"/>
      <c r="E39" s="267">
        <v>2</v>
      </c>
      <c r="F39" s="237">
        <f>SUM(L39,Q39,V39,AA39,AF39,AK39,AP39,AU39,AZ39,BE39,BJ39,BO39)</f>
        <v>108</v>
      </c>
      <c r="G39" s="265">
        <f>SUM(H39:K39)</f>
        <v>36</v>
      </c>
      <c r="H39" s="264">
        <f>SUM(N39,S39,X39,AC39,AH39,AM39,AR39,AW39,BB39,BG39,BL39,BQ39)</f>
        <v>6</v>
      </c>
      <c r="I39" s="263"/>
      <c r="J39" s="263">
        <f>SUM(O39,T39,Y39,AD39,AI39,AN39,AS39,AX39,BC39,BH39,BM39,BR39)</f>
        <v>30</v>
      </c>
      <c r="K39" s="267"/>
      <c r="L39" s="237"/>
      <c r="M39" s="263"/>
      <c r="N39" s="268"/>
      <c r="O39" s="268"/>
      <c r="P39" s="242"/>
      <c r="Q39" s="260">
        <v>108</v>
      </c>
      <c r="R39" s="263">
        <f>SUM(S39:T39)</f>
        <v>36</v>
      </c>
      <c r="S39" s="268">
        <v>6</v>
      </c>
      <c r="T39" s="268">
        <v>30</v>
      </c>
      <c r="U39" s="244">
        <v>3</v>
      </c>
      <c r="V39" s="260"/>
      <c r="W39" s="263">
        <f>SUM(X39:Y39)</f>
        <v>0</v>
      </c>
      <c r="X39" s="268"/>
      <c r="Y39" s="268"/>
      <c r="Z39" s="242"/>
      <c r="AA39" s="242"/>
      <c r="AB39" s="263"/>
      <c r="AC39" s="268"/>
      <c r="AD39" s="268"/>
      <c r="AE39" s="244"/>
      <c r="AF39" s="245">
        <f>AG39*1.4</f>
        <v>0</v>
      </c>
      <c r="AG39" s="301">
        <f>SUM(AH39:AI39)</f>
        <v>0</v>
      </c>
      <c r="AH39" s="302"/>
      <c r="AI39" s="302"/>
      <c r="AJ39" s="246">
        <f>AF39/36</f>
        <v>0</v>
      </c>
      <c r="AK39" s="301"/>
      <c r="AL39" s="301"/>
      <c r="AM39" s="302"/>
      <c r="AN39" s="302"/>
      <c r="AO39" s="213"/>
      <c r="AP39" s="300"/>
      <c r="AQ39" s="301"/>
      <c r="AR39" s="302"/>
      <c r="AS39" s="302"/>
      <c r="AT39" s="246"/>
      <c r="AU39" s="301"/>
      <c r="AV39" s="301"/>
      <c r="AW39" s="302"/>
      <c r="AX39" s="302"/>
      <c r="AY39" s="213"/>
      <c r="AZ39" s="300"/>
      <c r="BA39" s="301"/>
      <c r="BB39" s="302"/>
      <c r="BC39" s="302"/>
      <c r="BD39" s="246"/>
      <c r="BE39" s="301"/>
      <c r="BF39" s="301"/>
      <c r="BG39" s="302"/>
      <c r="BH39" s="302"/>
      <c r="BI39" s="213"/>
      <c r="BJ39" s="300"/>
      <c r="BK39" s="301"/>
      <c r="BL39" s="302"/>
      <c r="BM39" s="302"/>
      <c r="BN39" s="246"/>
      <c r="BO39" s="301"/>
      <c r="BP39" s="301"/>
      <c r="BQ39" s="302"/>
      <c r="BR39" s="302"/>
      <c r="BS39" s="213"/>
      <c r="BT39" s="247">
        <f t="shared" si="2"/>
        <v>3</v>
      </c>
      <c r="BU39" s="248"/>
      <c r="BX39" s="48">
        <f>BM39/7</f>
        <v>0</v>
      </c>
      <c r="BY39" s="48">
        <f>BR39/7</f>
        <v>0</v>
      </c>
    </row>
    <row r="40" spans="2:74" ht="39" outlineLevel="1">
      <c r="B40" s="480" t="s">
        <v>192</v>
      </c>
      <c r="C40" s="303" t="s">
        <v>364</v>
      </c>
      <c r="D40" s="289"/>
      <c r="E40" s="304"/>
      <c r="F40" s="289"/>
      <c r="G40" s="305"/>
      <c r="H40" s="306"/>
      <c r="I40" s="307"/>
      <c r="J40" s="307"/>
      <c r="K40" s="304"/>
      <c r="L40" s="289"/>
      <c r="M40" s="307"/>
      <c r="N40" s="309"/>
      <c r="O40" s="309"/>
      <c r="P40" s="310"/>
      <c r="Q40" s="311"/>
      <c r="R40" s="307"/>
      <c r="S40" s="309"/>
      <c r="T40" s="309"/>
      <c r="U40" s="313"/>
      <c r="V40" s="311"/>
      <c r="W40" s="307"/>
      <c r="X40" s="309"/>
      <c r="Y40" s="309"/>
      <c r="Z40" s="310"/>
      <c r="AA40" s="307"/>
      <c r="AB40" s="307"/>
      <c r="AC40" s="309"/>
      <c r="AD40" s="309"/>
      <c r="AE40" s="313"/>
      <c r="AF40" s="308"/>
      <c r="AG40" s="307"/>
      <c r="AH40" s="309"/>
      <c r="AI40" s="309"/>
      <c r="AJ40" s="310"/>
      <c r="AK40" s="307"/>
      <c r="AL40" s="307"/>
      <c r="AM40" s="309"/>
      <c r="AN40" s="309"/>
      <c r="AO40" s="313"/>
      <c r="AP40" s="308"/>
      <c r="AQ40" s="307"/>
      <c r="AR40" s="309"/>
      <c r="AS40" s="309"/>
      <c r="AT40" s="310"/>
      <c r="AU40" s="307"/>
      <c r="AV40" s="307"/>
      <c r="AW40" s="309"/>
      <c r="AX40" s="309"/>
      <c r="AY40" s="313"/>
      <c r="AZ40" s="308"/>
      <c r="BA40" s="307"/>
      <c r="BB40" s="309"/>
      <c r="BC40" s="309"/>
      <c r="BD40" s="310"/>
      <c r="BE40" s="307"/>
      <c r="BF40" s="307"/>
      <c r="BG40" s="309"/>
      <c r="BH40" s="309"/>
      <c r="BI40" s="313"/>
      <c r="BJ40" s="308"/>
      <c r="BK40" s="307"/>
      <c r="BL40" s="309"/>
      <c r="BM40" s="309"/>
      <c r="BN40" s="310"/>
      <c r="BO40" s="307"/>
      <c r="BP40" s="307"/>
      <c r="BQ40" s="309"/>
      <c r="BR40" s="309"/>
      <c r="BS40" s="313"/>
      <c r="BT40" s="259"/>
      <c r="BU40" s="318"/>
      <c r="BV40" s="50">
        <f>SUM(BT41:BT42)</f>
        <v>12</v>
      </c>
    </row>
    <row r="41" spans="2:77" ht="40.5" customHeight="1" outlineLevel="1">
      <c r="B41" s="479" t="s">
        <v>211</v>
      </c>
      <c r="C41" s="236" t="s">
        <v>235</v>
      </c>
      <c r="D41" s="237">
        <v>4</v>
      </c>
      <c r="E41" s="267">
        <v>3</v>
      </c>
      <c r="F41" s="237">
        <f>SUM(L41,Q41,V41,AA41,AF41,AK41,AP41,AU41,AZ41,BE41,BJ41,BO41)</f>
        <v>216</v>
      </c>
      <c r="G41" s="265">
        <f>SUM(H41:K41)</f>
        <v>118</v>
      </c>
      <c r="H41" s="264">
        <f>SUM(N41,S41,X41,AC41,AH41,AM41,AR41,AW41,BB41,BG41,BL41,BQ41)</f>
        <v>32</v>
      </c>
      <c r="I41" s="266"/>
      <c r="J41" s="263">
        <f>SUM(O41,T41,Y41,AD41,AI41,AN41,AS41,AX41,BC41,BH41,BM41,BR41)</f>
        <v>86</v>
      </c>
      <c r="K41" s="267"/>
      <c r="L41" s="264"/>
      <c r="M41" s="263"/>
      <c r="N41" s="268"/>
      <c r="O41" s="268"/>
      <c r="P41" s="242"/>
      <c r="Q41" s="263"/>
      <c r="R41" s="263"/>
      <c r="S41" s="268"/>
      <c r="T41" s="268"/>
      <c r="U41" s="244"/>
      <c r="V41" s="263">
        <v>108</v>
      </c>
      <c r="W41" s="263">
        <f>SUM(X41:Y41)</f>
        <v>50</v>
      </c>
      <c r="X41" s="268">
        <v>12</v>
      </c>
      <c r="Y41" s="268">
        <v>38</v>
      </c>
      <c r="Z41" s="242">
        <v>3</v>
      </c>
      <c r="AA41" s="263">
        <v>108</v>
      </c>
      <c r="AB41" s="263">
        <f>SUM(AC41:AD41)</f>
        <v>68</v>
      </c>
      <c r="AC41" s="268">
        <v>20</v>
      </c>
      <c r="AD41" s="268">
        <v>48</v>
      </c>
      <c r="AE41" s="244">
        <v>3</v>
      </c>
      <c r="AF41" s="269"/>
      <c r="AG41" s="263">
        <f>SUM(AH41:AI41)</f>
        <v>0</v>
      </c>
      <c r="AH41" s="268"/>
      <c r="AI41" s="268"/>
      <c r="AJ41" s="242"/>
      <c r="AK41" s="263"/>
      <c r="AL41" s="263"/>
      <c r="AM41" s="268"/>
      <c r="AN41" s="268"/>
      <c r="AO41" s="244"/>
      <c r="AP41" s="269"/>
      <c r="AQ41" s="263"/>
      <c r="AR41" s="268"/>
      <c r="AS41" s="268"/>
      <c r="AT41" s="242"/>
      <c r="AU41" s="263"/>
      <c r="AV41" s="263"/>
      <c r="AW41" s="268"/>
      <c r="AX41" s="268"/>
      <c r="AY41" s="244"/>
      <c r="AZ41" s="269"/>
      <c r="BA41" s="263"/>
      <c r="BB41" s="268"/>
      <c r="BC41" s="268"/>
      <c r="BD41" s="242"/>
      <c r="BE41" s="263"/>
      <c r="BF41" s="263"/>
      <c r="BG41" s="268"/>
      <c r="BH41" s="268"/>
      <c r="BI41" s="244"/>
      <c r="BJ41" s="269"/>
      <c r="BK41" s="263"/>
      <c r="BL41" s="268"/>
      <c r="BM41" s="268"/>
      <c r="BN41" s="242"/>
      <c r="BO41" s="263"/>
      <c r="BP41" s="263"/>
      <c r="BQ41" s="268"/>
      <c r="BR41" s="268"/>
      <c r="BS41" s="244"/>
      <c r="BT41" s="247">
        <f t="shared" si="2"/>
        <v>6</v>
      </c>
      <c r="BU41" s="248" t="s">
        <v>373</v>
      </c>
      <c r="BX41" s="48">
        <f>BM41/7</f>
        <v>0</v>
      </c>
      <c r="BY41" s="48">
        <f>BR41/7</f>
        <v>0</v>
      </c>
    </row>
    <row r="42" spans="2:77" ht="63.75" customHeight="1" outlineLevel="1">
      <c r="B42" s="479" t="s">
        <v>297</v>
      </c>
      <c r="C42" s="236" t="s">
        <v>215</v>
      </c>
      <c r="D42" s="237">
        <v>5</v>
      </c>
      <c r="E42" s="267">
        <v>4</v>
      </c>
      <c r="F42" s="237">
        <f>SUM(L42,Q42,V42,AA42,AF42,AK42,AP42,AU42,AZ42,BE42,BJ42,BO42)</f>
        <v>228</v>
      </c>
      <c r="G42" s="265">
        <f>SUM(H42:K42)</f>
        <v>130</v>
      </c>
      <c r="H42" s="264">
        <f>SUM(N42,S42,X42,AC42,AH42,AM42,AR42,AW42,BB42,BG42,BL42,BQ42)</f>
        <v>22</v>
      </c>
      <c r="I42" s="263">
        <f>SUM(O42,T42,Y42,AD42,AI42,AN42,AS42,AX42,BC42,BH42,BM42,BR42)</f>
        <v>108</v>
      </c>
      <c r="J42" s="263"/>
      <c r="K42" s="267"/>
      <c r="L42" s="264"/>
      <c r="M42" s="263"/>
      <c r="N42" s="268"/>
      <c r="O42" s="268"/>
      <c r="P42" s="242"/>
      <c r="Q42" s="263"/>
      <c r="R42" s="263"/>
      <c r="S42" s="268"/>
      <c r="T42" s="268"/>
      <c r="U42" s="244"/>
      <c r="V42" s="269"/>
      <c r="W42" s="263"/>
      <c r="X42" s="268"/>
      <c r="Y42" s="268"/>
      <c r="Z42" s="242"/>
      <c r="AA42" s="263">
        <v>108</v>
      </c>
      <c r="AB42" s="263">
        <f>SUM(AC42:AD42)</f>
        <v>64</v>
      </c>
      <c r="AC42" s="268">
        <v>10</v>
      </c>
      <c r="AD42" s="268">
        <v>54</v>
      </c>
      <c r="AE42" s="244">
        <v>3</v>
      </c>
      <c r="AF42" s="260">
        <v>120</v>
      </c>
      <c r="AG42" s="263">
        <f>SUM(AH42:AI42)</f>
        <v>66</v>
      </c>
      <c r="AH42" s="268">
        <v>12</v>
      </c>
      <c r="AI42" s="268">
        <v>54</v>
      </c>
      <c r="AJ42" s="242">
        <v>3</v>
      </c>
      <c r="AK42" s="263"/>
      <c r="AL42" s="263">
        <f>SUM(AM42:AN42)</f>
        <v>0</v>
      </c>
      <c r="AM42" s="268"/>
      <c r="AN42" s="268"/>
      <c r="AO42" s="244">
        <f>AK42/36</f>
        <v>0</v>
      </c>
      <c r="AP42" s="269"/>
      <c r="AQ42" s="263"/>
      <c r="AR42" s="268"/>
      <c r="AS42" s="268"/>
      <c r="AT42" s="242"/>
      <c r="AU42" s="263"/>
      <c r="AV42" s="263"/>
      <c r="AW42" s="268"/>
      <c r="AX42" s="268"/>
      <c r="AY42" s="244"/>
      <c r="AZ42" s="269"/>
      <c r="BA42" s="263"/>
      <c r="BB42" s="268"/>
      <c r="BC42" s="268"/>
      <c r="BD42" s="242"/>
      <c r="BE42" s="263"/>
      <c r="BF42" s="263"/>
      <c r="BG42" s="268"/>
      <c r="BH42" s="268"/>
      <c r="BI42" s="244"/>
      <c r="BJ42" s="269"/>
      <c r="BK42" s="263"/>
      <c r="BL42" s="268"/>
      <c r="BM42" s="268"/>
      <c r="BN42" s="242"/>
      <c r="BO42" s="263"/>
      <c r="BP42" s="263"/>
      <c r="BQ42" s="268"/>
      <c r="BR42" s="268"/>
      <c r="BS42" s="244"/>
      <c r="BT42" s="247">
        <f t="shared" si="2"/>
        <v>6</v>
      </c>
      <c r="BU42" s="248" t="s">
        <v>374</v>
      </c>
      <c r="BX42" s="48">
        <f>BM42/7</f>
        <v>0</v>
      </c>
      <c r="BY42" s="48">
        <f>BR42/7</f>
        <v>0</v>
      </c>
    </row>
    <row r="43" spans="2:74" ht="39" outlineLevel="1">
      <c r="B43" s="480" t="s">
        <v>193</v>
      </c>
      <c r="C43" s="303" t="s">
        <v>365</v>
      </c>
      <c r="D43" s="289"/>
      <c r="E43" s="304"/>
      <c r="F43" s="289"/>
      <c r="G43" s="305"/>
      <c r="H43" s="306"/>
      <c r="I43" s="307"/>
      <c r="J43" s="307"/>
      <c r="K43" s="304"/>
      <c r="L43" s="289"/>
      <c r="M43" s="307"/>
      <c r="N43" s="309"/>
      <c r="O43" s="309"/>
      <c r="P43" s="310"/>
      <c r="Q43" s="311"/>
      <c r="R43" s="307"/>
      <c r="S43" s="309"/>
      <c r="T43" s="309"/>
      <c r="U43" s="313"/>
      <c r="V43" s="311"/>
      <c r="W43" s="307"/>
      <c r="X43" s="309"/>
      <c r="Y43" s="309"/>
      <c r="Z43" s="310"/>
      <c r="AA43" s="307"/>
      <c r="AB43" s="307"/>
      <c r="AC43" s="309"/>
      <c r="AD43" s="309"/>
      <c r="AE43" s="313"/>
      <c r="AF43" s="308"/>
      <c r="AG43" s="307"/>
      <c r="AH43" s="309"/>
      <c r="AI43" s="309"/>
      <c r="AJ43" s="310"/>
      <c r="AK43" s="307"/>
      <c r="AL43" s="307"/>
      <c r="AM43" s="309"/>
      <c r="AN43" s="309"/>
      <c r="AO43" s="313"/>
      <c r="AP43" s="308"/>
      <c r="AQ43" s="307"/>
      <c r="AR43" s="309"/>
      <c r="AS43" s="309"/>
      <c r="AT43" s="310"/>
      <c r="AU43" s="307"/>
      <c r="AV43" s="307"/>
      <c r="AW43" s="309"/>
      <c r="AX43" s="309"/>
      <c r="AY43" s="313"/>
      <c r="AZ43" s="308"/>
      <c r="BA43" s="307"/>
      <c r="BB43" s="309"/>
      <c r="BC43" s="309"/>
      <c r="BD43" s="310"/>
      <c r="BE43" s="307"/>
      <c r="BF43" s="307"/>
      <c r="BG43" s="309"/>
      <c r="BH43" s="309"/>
      <c r="BI43" s="313"/>
      <c r="BJ43" s="308"/>
      <c r="BK43" s="307"/>
      <c r="BL43" s="309"/>
      <c r="BM43" s="309"/>
      <c r="BN43" s="310"/>
      <c r="BO43" s="307"/>
      <c r="BP43" s="307"/>
      <c r="BQ43" s="309"/>
      <c r="BR43" s="309"/>
      <c r="BS43" s="313"/>
      <c r="BT43" s="259"/>
      <c r="BU43" s="318"/>
      <c r="BV43" s="50">
        <f>SUM(BT44:BT45)</f>
        <v>9</v>
      </c>
    </row>
    <row r="44" spans="2:77" ht="60.75" customHeight="1" outlineLevel="1">
      <c r="B44" s="479" t="s">
        <v>212</v>
      </c>
      <c r="C44" s="236" t="s">
        <v>70</v>
      </c>
      <c r="D44" s="237">
        <v>5</v>
      </c>
      <c r="E44" s="267">
        <v>4</v>
      </c>
      <c r="F44" s="237">
        <f>SUM(L44,Q44,V44,AA44,AF44,AK44,AP44,AU44,AZ44,BE44,BJ44,BO44)</f>
        <v>198</v>
      </c>
      <c r="G44" s="265">
        <f>SUM(H44:K44)</f>
        <v>78</v>
      </c>
      <c r="H44" s="264">
        <f>SUM(N44,S44,X44,AC44,AH44,AM44,AR44,AW44,BB44,BG44,BL44,BQ44)</f>
        <v>12</v>
      </c>
      <c r="I44" s="263">
        <f>SUM(O44,T44,Y44,AD44,AI44,AN44,AS44,AX44,BC44,BH44,BM44,BR44)</f>
        <v>66</v>
      </c>
      <c r="J44" s="263"/>
      <c r="K44" s="267"/>
      <c r="L44" s="264"/>
      <c r="M44" s="263"/>
      <c r="N44" s="268"/>
      <c r="O44" s="268"/>
      <c r="P44" s="242"/>
      <c r="Q44" s="263"/>
      <c r="R44" s="263"/>
      <c r="S44" s="268"/>
      <c r="T44" s="268"/>
      <c r="U44" s="244"/>
      <c r="V44" s="263"/>
      <c r="W44" s="263"/>
      <c r="X44" s="268"/>
      <c r="Y44" s="268"/>
      <c r="Z44" s="242"/>
      <c r="AA44" s="242">
        <v>90</v>
      </c>
      <c r="AB44" s="263">
        <f>SUM(AC44:AD44)</f>
        <v>42</v>
      </c>
      <c r="AC44" s="268">
        <v>6</v>
      </c>
      <c r="AD44" s="268">
        <v>36</v>
      </c>
      <c r="AE44" s="244">
        <v>3</v>
      </c>
      <c r="AF44" s="260">
        <v>108</v>
      </c>
      <c r="AG44" s="263">
        <f>SUM(AH44:AI44)</f>
        <v>36</v>
      </c>
      <c r="AH44" s="268">
        <v>6</v>
      </c>
      <c r="AI44" s="268">
        <v>30</v>
      </c>
      <c r="AJ44" s="242">
        <v>3</v>
      </c>
      <c r="AK44" s="242"/>
      <c r="AL44" s="263"/>
      <c r="AM44" s="268"/>
      <c r="AN44" s="268"/>
      <c r="AO44" s="244"/>
      <c r="AP44" s="260"/>
      <c r="AQ44" s="263"/>
      <c r="AR44" s="268"/>
      <c r="AS44" s="268"/>
      <c r="AT44" s="242"/>
      <c r="AU44" s="260"/>
      <c r="AV44" s="263"/>
      <c r="AW44" s="268"/>
      <c r="AX44" s="268"/>
      <c r="AY44" s="244"/>
      <c r="AZ44" s="269"/>
      <c r="BA44" s="263"/>
      <c r="BB44" s="268"/>
      <c r="BC44" s="268"/>
      <c r="BD44" s="242"/>
      <c r="BE44" s="263"/>
      <c r="BF44" s="263"/>
      <c r="BG44" s="268"/>
      <c r="BH44" s="268"/>
      <c r="BI44" s="244"/>
      <c r="BJ44" s="269"/>
      <c r="BK44" s="263"/>
      <c r="BL44" s="268"/>
      <c r="BM44" s="268"/>
      <c r="BN44" s="242"/>
      <c r="BO44" s="263"/>
      <c r="BP44" s="263"/>
      <c r="BQ44" s="268"/>
      <c r="BR44" s="268"/>
      <c r="BS44" s="244"/>
      <c r="BT44" s="247">
        <f t="shared" si="2"/>
        <v>6</v>
      </c>
      <c r="BU44" s="248" t="s">
        <v>348</v>
      </c>
      <c r="BX44" s="48">
        <f>BM44/7</f>
        <v>0</v>
      </c>
      <c r="BY44" s="48">
        <f>BR44/7</f>
        <v>0</v>
      </c>
    </row>
    <row r="45" spans="2:77" ht="72" customHeight="1" outlineLevel="1">
      <c r="B45" s="479" t="s">
        <v>213</v>
      </c>
      <c r="C45" s="236" t="s">
        <v>370</v>
      </c>
      <c r="D45" s="237"/>
      <c r="E45" s="267">
        <v>6</v>
      </c>
      <c r="F45" s="237">
        <f>SUM(L45,Q45,V45,AA45,AF45,AK45,AP45,AU45,AZ45,BE45,BJ45,BO45)</f>
        <v>108</v>
      </c>
      <c r="G45" s="265">
        <f>SUM(H45:K45)</f>
        <v>44</v>
      </c>
      <c r="H45" s="264">
        <f>SUM(N45,S45,X45,AC45,AH45,AM45,AR45,AW45,BB45,BG45,BL45,BQ45)</f>
        <v>8</v>
      </c>
      <c r="I45" s="266"/>
      <c r="J45" s="263">
        <f>SUM(O45,T45,Y45,AD45,AI45,AN45,AS45,AX45,BC45,BH45,BM45,BR45)</f>
        <v>36</v>
      </c>
      <c r="K45" s="267"/>
      <c r="L45" s="264"/>
      <c r="M45" s="263"/>
      <c r="N45" s="268"/>
      <c r="O45" s="268"/>
      <c r="P45" s="242"/>
      <c r="Q45" s="263"/>
      <c r="R45" s="263"/>
      <c r="S45" s="268"/>
      <c r="T45" s="268"/>
      <c r="U45" s="244"/>
      <c r="V45" s="269"/>
      <c r="W45" s="263"/>
      <c r="X45" s="268"/>
      <c r="Y45" s="268"/>
      <c r="Z45" s="242"/>
      <c r="AA45" s="263"/>
      <c r="AB45" s="263"/>
      <c r="AC45" s="268"/>
      <c r="AD45" s="268"/>
      <c r="AE45" s="244"/>
      <c r="AF45" s="260"/>
      <c r="AG45" s="263">
        <f>SUM(AH45:AI45)</f>
        <v>0</v>
      </c>
      <c r="AH45" s="268"/>
      <c r="AI45" s="268"/>
      <c r="AJ45" s="242"/>
      <c r="AK45" s="260">
        <v>108</v>
      </c>
      <c r="AL45" s="263">
        <f>SUM(AM45:AN45)</f>
        <v>44</v>
      </c>
      <c r="AM45" s="268">
        <v>8</v>
      </c>
      <c r="AN45" s="268">
        <v>36</v>
      </c>
      <c r="AO45" s="244">
        <v>3</v>
      </c>
      <c r="AP45" s="260"/>
      <c r="AQ45" s="263"/>
      <c r="AR45" s="268"/>
      <c r="AS45" s="268"/>
      <c r="AT45" s="242"/>
      <c r="AU45" s="263"/>
      <c r="AV45" s="263"/>
      <c r="AW45" s="268"/>
      <c r="AX45" s="268"/>
      <c r="AY45" s="244"/>
      <c r="AZ45" s="269"/>
      <c r="BA45" s="263"/>
      <c r="BB45" s="268"/>
      <c r="BC45" s="268"/>
      <c r="BD45" s="242"/>
      <c r="BE45" s="263"/>
      <c r="BF45" s="263"/>
      <c r="BG45" s="268"/>
      <c r="BH45" s="268"/>
      <c r="BI45" s="244"/>
      <c r="BJ45" s="269"/>
      <c r="BK45" s="263"/>
      <c r="BL45" s="268"/>
      <c r="BM45" s="268"/>
      <c r="BN45" s="242"/>
      <c r="BO45" s="263"/>
      <c r="BP45" s="263"/>
      <c r="BQ45" s="268"/>
      <c r="BR45" s="268"/>
      <c r="BS45" s="244"/>
      <c r="BT45" s="247">
        <f t="shared" si="2"/>
        <v>3</v>
      </c>
      <c r="BU45" s="248" t="s">
        <v>375</v>
      </c>
      <c r="BX45" s="48">
        <f>BM45/7</f>
        <v>0</v>
      </c>
      <c r="BY45" s="48">
        <f>BR45/7</f>
        <v>0</v>
      </c>
    </row>
    <row r="46" spans="2:75" ht="56.25" outlineLevel="1">
      <c r="B46" s="480" t="s">
        <v>247</v>
      </c>
      <c r="C46" s="219" t="s">
        <v>217</v>
      </c>
      <c r="D46" s="289"/>
      <c r="E46" s="290">
        <v>11</v>
      </c>
      <c r="F46" s="224"/>
      <c r="G46" s="223"/>
      <c r="H46" s="319"/>
      <c r="I46" s="225"/>
      <c r="J46" s="225"/>
      <c r="K46" s="225"/>
      <c r="L46" s="234"/>
      <c r="M46" s="320"/>
      <c r="N46" s="320"/>
      <c r="O46" s="320"/>
      <c r="P46" s="320"/>
      <c r="Q46" s="320"/>
      <c r="R46" s="320"/>
      <c r="S46" s="320"/>
      <c r="T46" s="320"/>
      <c r="U46" s="321"/>
      <c r="V46" s="322"/>
      <c r="W46" s="320"/>
      <c r="X46" s="320"/>
      <c r="Y46" s="320"/>
      <c r="Z46" s="320"/>
      <c r="AA46" s="320"/>
      <c r="AB46" s="320"/>
      <c r="AC46" s="320"/>
      <c r="AD46" s="320"/>
      <c r="AE46" s="321"/>
      <c r="AF46" s="322"/>
      <c r="AG46" s="320"/>
      <c r="AH46" s="320"/>
      <c r="AI46" s="320"/>
      <c r="AJ46" s="320"/>
      <c r="AK46" s="320"/>
      <c r="AL46" s="320"/>
      <c r="AM46" s="320"/>
      <c r="AN46" s="320"/>
      <c r="AO46" s="321"/>
      <c r="AP46" s="322"/>
      <c r="AQ46" s="320"/>
      <c r="AR46" s="320"/>
      <c r="AS46" s="320"/>
      <c r="AT46" s="320"/>
      <c r="AU46" s="320"/>
      <c r="AV46" s="320"/>
      <c r="AW46" s="320"/>
      <c r="AX46" s="320"/>
      <c r="AY46" s="321"/>
      <c r="AZ46" s="322"/>
      <c r="BA46" s="320"/>
      <c r="BB46" s="320"/>
      <c r="BC46" s="320"/>
      <c r="BD46" s="320"/>
      <c r="BE46" s="320"/>
      <c r="BF46" s="320"/>
      <c r="BG46" s="320"/>
      <c r="BH46" s="320"/>
      <c r="BI46" s="321"/>
      <c r="BJ46" s="323"/>
      <c r="BK46" s="320"/>
      <c r="BL46" s="320"/>
      <c r="BM46" s="320"/>
      <c r="BN46" s="225">
        <v>3</v>
      </c>
      <c r="BO46" s="320"/>
      <c r="BP46" s="320"/>
      <c r="BQ46" s="320"/>
      <c r="BR46" s="320"/>
      <c r="BS46" s="321"/>
      <c r="BT46" s="259">
        <f t="shared" si="2"/>
        <v>3</v>
      </c>
      <c r="BU46" s="316" t="s">
        <v>654</v>
      </c>
      <c r="BV46" s="50">
        <f>SUM(BT47:BT48)</f>
        <v>0</v>
      </c>
      <c r="BW46" s="49"/>
    </row>
    <row r="47" spans="2:75" ht="20.25" outlineLevel="1">
      <c r="B47" s="479" t="s">
        <v>248</v>
      </c>
      <c r="C47" s="236" t="s">
        <v>202</v>
      </c>
      <c r="D47" s="237"/>
      <c r="E47" s="267"/>
      <c r="F47" s="237">
        <f>SUM(L47,Q47,V47,AA47,AF47,AK47,AP47,AU47,AZ47,BE47,BJ47,BO47)</f>
        <v>54</v>
      </c>
      <c r="G47" s="265">
        <f>SUM(H47:K47)</f>
        <v>35</v>
      </c>
      <c r="H47" s="264">
        <f>SUM(N47,S47,X47,AC47,AH47,AM47,AR47,AW47,BB47,BG47,BL47,BQ47)</f>
        <v>0</v>
      </c>
      <c r="I47" s="263"/>
      <c r="J47" s="263">
        <f>SUM(O47,T47,Y47,AD47,AI47,AN47,AS47,AX47,BC47,BH47,BM47,BR47)</f>
        <v>35</v>
      </c>
      <c r="K47" s="267"/>
      <c r="L47" s="264"/>
      <c r="M47" s="263"/>
      <c r="N47" s="268"/>
      <c r="O47" s="268"/>
      <c r="P47" s="242"/>
      <c r="Q47" s="263"/>
      <c r="R47" s="263"/>
      <c r="S47" s="268"/>
      <c r="T47" s="268"/>
      <c r="U47" s="244"/>
      <c r="V47" s="269"/>
      <c r="W47" s="263"/>
      <c r="X47" s="268"/>
      <c r="Y47" s="268"/>
      <c r="Z47" s="242"/>
      <c r="AA47" s="263"/>
      <c r="AB47" s="263"/>
      <c r="AC47" s="268"/>
      <c r="AD47" s="268"/>
      <c r="AE47" s="244"/>
      <c r="AF47" s="269"/>
      <c r="AG47" s="263"/>
      <c r="AH47" s="268"/>
      <c r="AI47" s="268"/>
      <c r="AJ47" s="242"/>
      <c r="AK47" s="269"/>
      <c r="AL47" s="263"/>
      <c r="AM47" s="268"/>
      <c r="AN47" s="268"/>
      <c r="AO47" s="244"/>
      <c r="AP47" s="269"/>
      <c r="AQ47" s="263"/>
      <c r="AR47" s="268"/>
      <c r="AS47" s="268"/>
      <c r="AT47" s="242"/>
      <c r="AU47" s="263"/>
      <c r="AV47" s="263"/>
      <c r="AW47" s="268"/>
      <c r="AX47" s="268"/>
      <c r="AY47" s="244"/>
      <c r="AZ47" s="260"/>
      <c r="BA47" s="263"/>
      <c r="BB47" s="268"/>
      <c r="BC47" s="268"/>
      <c r="BD47" s="242"/>
      <c r="BE47" s="242"/>
      <c r="BF47" s="263"/>
      <c r="BG47" s="268"/>
      <c r="BH47" s="268"/>
      <c r="BI47" s="244"/>
      <c r="BJ47" s="260">
        <v>54</v>
      </c>
      <c r="BK47" s="263">
        <f>SUM(BL47:BM47)</f>
        <v>35</v>
      </c>
      <c r="BL47" s="268"/>
      <c r="BM47" s="268">
        <v>35</v>
      </c>
      <c r="BN47" s="242"/>
      <c r="BO47" s="242"/>
      <c r="BP47" s="263"/>
      <c r="BQ47" s="268"/>
      <c r="BR47" s="268"/>
      <c r="BS47" s="244"/>
      <c r="BT47" s="247">
        <f aca="true" t="shared" si="4" ref="BT47:BT53">SUM(P47,U47,Z47,AE47,AJ47,AO47,AT47,AY47,BD47,BI47,BN47,BS47)</f>
        <v>0</v>
      </c>
      <c r="BU47" s="248"/>
      <c r="BV47" s="50"/>
      <c r="BW47" s="49"/>
    </row>
    <row r="48" spans="2:75" ht="66.75" customHeight="1" outlineLevel="1">
      <c r="B48" s="479" t="s">
        <v>249</v>
      </c>
      <c r="C48" s="236" t="s">
        <v>201</v>
      </c>
      <c r="D48" s="237"/>
      <c r="E48" s="267"/>
      <c r="F48" s="237">
        <f>SUM(L48,Q48,V48,AA48,AF48,AK48,AP48,AU48,AZ48,BE48,BJ48,BO48)</f>
        <v>54</v>
      </c>
      <c r="G48" s="265">
        <f>SUM(H48:K48)</f>
        <v>35</v>
      </c>
      <c r="H48" s="264">
        <f>SUM(N48,S48,X48,AC48,AH48,AM48,AR48,AW48,BB48,BG48,BL48,BQ48)</f>
        <v>0</v>
      </c>
      <c r="I48" s="263"/>
      <c r="J48" s="263">
        <f>SUM(O48,T48,Y48,AD48,AI48,AN48,AS48,AX48,BC48,BH48,BM48,BR48)</f>
        <v>35</v>
      </c>
      <c r="K48" s="267"/>
      <c r="L48" s="264"/>
      <c r="M48" s="263"/>
      <c r="N48" s="268"/>
      <c r="O48" s="268"/>
      <c r="P48" s="242"/>
      <c r="Q48" s="263"/>
      <c r="R48" s="263"/>
      <c r="S48" s="268"/>
      <c r="T48" s="268"/>
      <c r="U48" s="244"/>
      <c r="V48" s="269"/>
      <c r="W48" s="263"/>
      <c r="X48" s="268"/>
      <c r="Y48" s="268"/>
      <c r="Z48" s="242"/>
      <c r="AA48" s="263"/>
      <c r="AB48" s="263"/>
      <c r="AC48" s="268"/>
      <c r="AD48" s="268"/>
      <c r="AE48" s="244"/>
      <c r="AF48" s="269"/>
      <c r="AG48" s="263"/>
      <c r="AH48" s="268"/>
      <c r="AI48" s="268"/>
      <c r="AJ48" s="242"/>
      <c r="AK48" s="269"/>
      <c r="AL48" s="263"/>
      <c r="AM48" s="268"/>
      <c r="AN48" s="268"/>
      <c r="AO48" s="244"/>
      <c r="AP48" s="269"/>
      <c r="AQ48" s="263"/>
      <c r="AR48" s="268"/>
      <c r="AS48" s="268"/>
      <c r="AT48" s="242"/>
      <c r="AU48" s="263"/>
      <c r="AV48" s="263"/>
      <c r="AW48" s="268"/>
      <c r="AX48" s="268"/>
      <c r="AY48" s="244"/>
      <c r="AZ48" s="260"/>
      <c r="BA48" s="263"/>
      <c r="BB48" s="268"/>
      <c r="BC48" s="268"/>
      <c r="BD48" s="242"/>
      <c r="BE48" s="242"/>
      <c r="BF48" s="263"/>
      <c r="BG48" s="268"/>
      <c r="BH48" s="268"/>
      <c r="BI48" s="244"/>
      <c r="BJ48" s="260">
        <v>54</v>
      </c>
      <c r="BK48" s="263">
        <f>SUM(BL48:BM48)</f>
        <v>35</v>
      </c>
      <c r="BL48" s="268"/>
      <c r="BM48" s="268">
        <v>35</v>
      </c>
      <c r="BN48" s="242"/>
      <c r="BO48" s="242"/>
      <c r="BP48" s="263"/>
      <c r="BQ48" s="268"/>
      <c r="BR48" s="268"/>
      <c r="BS48" s="244"/>
      <c r="BT48" s="247">
        <f t="shared" si="4"/>
        <v>0</v>
      </c>
      <c r="BU48" s="248"/>
      <c r="BV48" s="50"/>
      <c r="BW48" s="49"/>
    </row>
    <row r="49" spans="2:75" ht="43.5" customHeight="1" outlineLevel="1">
      <c r="B49" s="480" t="s">
        <v>483</v>
      </c>
      <c r="C49" s="303" t="s">
        <v>360</v>
      </c>
      <c r="D49" s="289"/>
      <c r="E49" s="313"/>
      <c r="F49" s="289"/>
      <c r="G49" s="324"/>
      <c r="H49" s="289"/>
      <c r="I49" s="310"/>
      <c r="J49" s="310"/>
      <c r="K49" s="313"/>
      <c r="L49" s="289"/>
      <c r="M49" s="310"/>
      <c r="N49" s="312"/>
      <c r="O49" s="312"/>
      <c r="P49" s="310"/>
      <c r="Q49" s="310"/>
      <c r="R49" s="310"/>
      <c r="S49" s="312"/>
      <c r="T49" s="312"/>
      <c r="U49" s="313"/>
      <c r="V49" s="311"/>
      <c r="W49" s="310"/>
      <c r="X49" s="312"/>
      <c r="Y49" s="312"/>
      <c r="Z49" s="310"/>
      <c r="AA49" s="311"/>
      <c r="AB49" s="310"/>
      <c r="AC49" s="312"/>
      <c r="AD49" s="312"/>
      <c r="AE49" s="313"/>
      <c r="AF49" s="311"/>
      <c r="AG49" s="310"/>
      <c r="AH49" s="312"/>
      <c r="AI49" s="312"/>
      <c r="AJ49" s="310"/>
      <c r="AK49" s="310"/>
      <c r="AL49" s="310"/>
      <c r="AM49" s="312"/>
      <c r="AN49" s="312"/>
      <c r="AO49" s="313"/>
      <c r="AP49" s="311"/>
      <c r="AQ49" s="310"/>
      <c r="AR49" s="312"/>
      <c r="AS49" s="312"/>
      <c r="AT49" s="310"/>
      <c r="AU49" s="310"/>
      <c r="AV49" s="310"/>
      <c r="AW49" s="312"/>
      <c r="AX49" s="312"/>
      <c r="AY49" s="313"/>
      <c r="AZ49" s="311"/>
      <c r="BA49" s="310"/>
      <c r="BB49" s="312"/>
      <c r="BC49" s="312"/>
      <c r="BD49" s="310"/>
      <c r="BE49" s="310"/>
      <c r="BF49" s="310"/>
      <c r="BG49" s="312"/>
      <c r="BH49" s="312"/>
      <c r="BI49" s="313"/>
      <c r="BJ49" s="311"/>
      <c r="BK49" s="310"/>
      <c r="BL49" s="312"/>
      <c r="BM49" s="312"/>
      <c r="BN49" s="310"/>
      <c r="BO49" s="310"/>
      <c r="BP49" s="310"/>
      <c r="BQ49" s="312"/>
      <c r="BR49" s="312"/>
      <c r="BS49" s="313"/>
      <c r="BT49" s="259"/>
      <c r="BU49" s="316"/>
      <c r="BV49" s="50"/>
      <c r="BW49" s="49"/>
    </row>
    <row r="50" spans="2:75" ht="43.5" customHeight="1" outlineLevel="1">
      <c r="B50" s="479" t="s">
        <v>484</v>
      </c>
      <c r="C50" s="236" t="s">
        <v>230</v>
      </c>
      <c r="D50" s="237"/>
      <c r="E50" s="244" t="s">
        <v>198</v>
      </c>
      <c r="F50" s="237">
        <f>SUM(L50,Q50,V50,AA50,AF50,AK50,AP50,AU50,AZ50,BE50,BJ50,BO50)</f>
        <v>198</v>
      </c>
      <c r="G50" s="243">
        <f>SUM(H50:K50)</f>
        <v>111</v>
      </c>
      <c r="H50" s="237">
        <f>SUM(N50,S50,X50,AC50,AH50,AM50,AR50,AW50,BB50,BG50,BL50,BQ50)</f>
        <v>24</v>
      </c>
      <c r="I50" s="242"/>
      <c r="J50" s="242">
        <f>SUM(O50,T50,Y50,AD50,AI50,AN50,AS50,AX50,BC50,BH50,BM50,BR50)</f>
        <v>87</v>
      </c>
      <c r="K50" s="244"/>
      <c r="L50" s="237"/>
      <c r="M50" s="242"/>
      <c r="N50" s="261"/>
      <c r="O50" s="261"/>
      <c r="P50" s="242"/>
      <c r="Q50" s="242"/>
      <c r="R50" s="242"/>
      <c r="S50" s="261"/>
      <c r="T50" s="261"/>
      <c r="U50" s="244"/>
      <c r="V50" s="260"/>
      <c r="W50" s="242"/>
      <c r="X50" s="261"/>
      <c r="Y50" s="261"/>
      <c r="Z50" s="242"/>
      <c r="AA50" s="260">
        <v>90</v>
      </c>
      <c r="AB50" s="242">
        <f>SUM(AC50:AD50)</f>
        <v>44</v>
      </c>
      <c r="AC50" s="261">
        <v>8</v>
      </c>
      <c r="AD50" s="261">
        <v>36</v>
      </c>
      <c r="AE50" s="244">
        <v>3</v>
      </c>
      <c r="AF50" s="260">
        <v>108</v>
      </c>
      <c r="AG50" s="242">
        <f>SUM(AH50:AI50)</f>
        <v>67</v>
      </c>
      <c r="AH50" s="261">
        <v>16</v>
      </c>
      <c r="AI50" s="261">
        <v>51</v>
      </c>
      <c r="AJ50" s="242">
        <v>3</v>
      </c>
      <c r="AK50" s="242"/>
      <c r="AL50" s="242"/>
      <c r="AM50" s="261"/>
      <c r="AN50" s="261"/>
      <c r="AO50" s="244"/>
      <c r="AP50" s="260"/>
      <c r="AQ50" s="242"/>
      <c r="AR50" s="261"/>
      <c r="AS50" s="261"/>
      <c r="AT50" s="242"/>
      <c r="AU50" s="242"/>
      <c r="AV50" s="242"/>
      <c r="AW50" s="261"/>
      <c r="AX50" s="261"/>
      <c r="AY50" s="244"/>
      <c r="AZ50" s="260"/>
      <c r="BA50" s="242"/>
      <c r="BB50" s="261"/>
      <c r="BC50" s="261"/>
      <c r="BD50" s="242"/>
      <c r="BE50" s="260"/>
      <c r="BF50" s="242"/>
      <c r="BG50" s="261"/>
      <c r="BH50" s="261"/>
      <c r="BI50" s="244"/>
      <c r="BJ50" s="260"/>
      <c r="BK50" s="242"/>
      <c r="BL50" s="261"/>
      <c r="BM50" s="261"/>
      <c r="BN50" s="242"/>
      <c r="BO50" s="242"/>
      <c r="BP50" s="242"/>
      <c r="BQ50" s="261"/>
      <c r="BR50" s="261"/>
      <c r="BS50" s="244"/>
      <c r="BT50" s="247">
        <f t="shared" si="4"/>
        <v>6</v>
      </c>
      <c r="BU50" s="248" t="s">
        <v>408</v>
      </c>
      <c r="BV50" s="50"/>
      <c r="BW50" s="49"/>
    </row>
    <row r="51" spans="2:75" ht="20.25" outlineLevel="1">
      <c r="B51" s="479" t="s">
        <v>485</v>
      </c>
      <c r="C51" s="236" t="s">
        <v>80</v>
      </c>
      <c r="D51" s="237">
        <v>8</v>
      </c>
      <c r="E51" s="244" t="s">
        <v>336</v>
      </c>
      <c r="F51" s="237">
        <f>SUM(L51,Q51,V51,AA51,AF51,AK51,AP51,AU51,AZ51,BE51,BJ51,BO51)</f>
        <v>536</v>
      </c>
      <c r="G51" s="243">
        <f>SUM(H51:K51)</f>
        <v>300</v>
      </c>
      <c r="H51" s="237">
        <f>SUM(N51,S51,X51,AC51,AH51,AM51,AR51,AW51,BB51,BG51,BL51,BQ51)</f>
        <v>34</v>
      </c>
      <c r="I51" s="242"/>
      <c r="J51" s="242">
        <f>SUM(O51,T51,Y51,AD51,AI51,AN51,AS51,AX51,BC51,BH51,BM51,BR51)</f>
        <v>266</v>
      </c>
      <c r="K51" s="244"/>
      <c r="L51" s="237"/>
      <c r="M51" s="242"/>
      <c r="N51" s="261"/>
      <c r="O51" s="261"/>
      <c r="P51" s="242"/>
      <c r="Q51" s="242"/>
      <c r="R51" s="242"/>
      <c r="S51" s="261"/>
      <c r="T51" s="261"/>
      <c r="U51" s="244"/>
      <c r="V51" s="260"/>
      <c r="W51" s="242"/>
      <c r="X51" s="261"/>
      <c r="Y51" s="261"/>
      <c r="Z51" s="242"/>
      <c r="AA51" s="242"/>
      <c r="AB51" s="242"/>
      <c r="AC51" s="261"/>
      <c r="AD51" s="261"/>
      <c r="AE51" s="244"/>
      <c r="AF51" s="260"/>
      <c r="AG51" s="242"/>
      <c r="AH51" s="261"/>
      <c r="AI51" s="261"/>
      <c r="AJ51" s="242"/>
      <c r="AK51" s="242"/>
      <c r="AL51" s="242"/>
      <c r="AM51" s="261"/>
      <c r="AN51" s="261"/>
      <c r="AO51" s="244"/>
      <c r="AP51" s="260">
        <v>200</v>
      </c>
      <c r="AQ51" s="242">
        <f>SUM(AR51:AS51)</f>
        <v>114</v>
      </c>
      <c r="AR51" s="261">
        <v>14</v>
      </c>
      <c r="AS51" s="261">
        <v>100</v>
      </c>
      <c r="AT51" s="242">
        <v>6</v>
      </c>
      <c r="AU51" s="242">
        <v>200</v>
      </c>
      <c r="AV51" s="242">
        <f>SUM(AW51:AX51)</f>
        <v>106</v>
      </c>
      <c r="AW51" s="261">
        <v>10</v>
      </c>
      <c r="AX51" s="261">
        <v>96</v>
      </c>
      <c r="AY51" s="244">
        <v>6</v>
      </c>
      <c r="AZ51" s="260"/>
      <c r="BA51" s="242">
        <f>SUM(BB51:BC51)</f>
        <v>0</v>
      </c>
      <c r="BB51" s="261"/>
      <c r="BC51" s="261"/>
      <c r="BD51" s="242"/>
      <c r="BE51" s="260">
        <v>136</v>
      </c>
      <c r="BF51" s="242">
        <f>SUM(BG51:BH51)</f>
        <v>80</v>
      </c>
      <c r="BG51" s="261">
        <v>10</v>
      </c>
      <c r="BH51" s="261">
        <v>70</v>
      </c>
      <c r="BI51" s="244">
        <v>3</v>
      </c>
      <c r="BJ51" s="260"/>
      <c r="BK51" s="242"/>
      <c r="BL51" s="261"/>
      <c r="BM51" s="261"/>
      <c r="BN51" s="242"/>
      <c r="BO51" s="242"/>
      <c r="BP51" s="242"/>
      <c r="BQ51" s="261"/>
      <c r="BR51" s="261"/>
      <c r="BS51" s="244"/>
      <c r="BT51" s="247">
        <f t="shared" si="4"/>
        <v>15</v>
      </c>
      <c r="BU51" s="248" t="s">
        <v>650</v>
      </c>
      <c r="BV51" s="50"/>
      <c r="BW51" s="49"/>
    </row>
    <row r="52" spans="2:77" ht="20.25" outlineLevel="1">
      <c r="B52" s="479" t="s">
        <v>486</v>
      </c>
      <c r="C52" s="236" t="s">
        <v>97</v>
      </c>
      <c r="D52" s="237">
        <v>10</v>
      </c>
      <c r="E52" s="244">
        <v>8</v>
      </c>
      <c r="F52" s="237">
        <f>SUM(L52,Q52,V52,AA52,AF52,AK52,AP52,AU52,AZ52,BE52,BJ52,BO52)</f>
        <v>288</v>
      </c>
      <c r="G52" s="243">
        <f>SUM(H52:K52)</f>
        <v>184</v>
      </c>
      <c r="H52" s="237">
        <f>SUM(N52,S52,X52,AC52,AH52,AM52,AR52,AW52,BB52,BG52,BL52,BQ52)</f>
        <v>16</v>
      </c>
      <c r="I52" s="242"/>
      <c r="J52" s="242">
        <f>SUM(O52,T52,Y52,AD52,AI52,AN52,AS52,AX52,BC52,BH52,BM52,BR52)</f>
        <v>168</v>
      </c>
      <c r="K52" s="244"/>
      <c r="L52" s="237"/>
      <c r="M52" s="242"/>
      <c r="N52" s="261"/>
      <c r="O52" s="261"/>
      <c r="P52" s="242"/>
      <c r="Q52" s="242"/>
      <c r="R52" s="242"/>
      <c r="S52" s="261"/>
      <c r="T52" s="261"/>
      <c r="U52" s="244"/>
      <c r="V52" s="260"/>
      <c r="W52" s="242"/>
      <c r="X52" s="261"/>
      <c r="Y52" s="261"/>
      <c r="Z52" s="242"/>
      <c r="AA52" s="242"/>
      <c r="AB52" s="242"/>
      <c r="AC52" s="261"/>
      <c r="AD52" s="261"/>
      <c r="AE52" s="244"/>
      <c r="AF52" s="260"/>
      <c r="AG52" s="242"/>
      <c r="AH52" s="261"/>
      <c r="AI52" s="261"/>
      <c r="AJ52" s="242"/>
      <c r="AK52" s="242"/>
      <c r="AL52" s="242"/>
      <c r="AM52" s="261"/>
      <c r="AN52" s="261"/>
      <c r="AO52" s="244"/>
      <c r="AP52" s="260">
        <v>69</v>
      </c>
      <c r="AQ52" s="242">
        <f>SUM(AR52:AS52)</f>
        <v>46</v>
      </c>
      <c r="AR52" s="261">
        <v>4</v>
      </c>
      <c r="AS52" s="261">
        <v>42</v>
      </c>
      <c r="AT52" s="242"/>
      <c r="AU52" s="242">
        <v>69</v>
      </c>
      <c r="AV52" s="242">
        <f>SUM(AW52:AX52)</f>
        <v>46</v>
      </c>
      <c r="AW52" s="261">
        <v>4</v>
      </c>
      <c r="AX52" s="261">
        <v>42</v>
      </c>
      <c r="AY52" s="244">
        <v>3</v>
      </c>
      <c r="AZ52" s="260">
        <v>78</v>
      </c>
      <c r="BA52" s="242">
        <f>SUM(BB52:BC52)</f>
        <v>46</v>
      </c>
      <c r="BB52" s="261">
        <v>4</v>
      </c>
      <c r="BC52" s="261">
        <v>42</v>
      </c>
      <c r="BD52" s="242"/>
      <c r="BE52" s="260">
        <v>72</v>
      </c>
      <c r="BF52" s="242">
        <f>SUM(BG52:BH52)</f>
        <v>46</v>
      </c>
      <c r="BG52" s="261">
        <v>4</v>
      </c>
      <c r="BH52" s="261">
        <v>42</v>
      </c>
      <c r="BI52" s="244">
        <v>4</v>
      </c>
      <c r="BJ52" s="260"/>
      <c r="BK52" s="242"/>
      <c r="BL52" s="261"/>
      <c r="BM52" s="261"/>
      <c r="BN52" s="242"/>
      <c r="BO52" s="242"/>
      <c r="BP52" s="242"/>
      <c r="BQ52" s="261"/>
      <c r="BR52" s="261"/>
      <c r="BS52" s="244"/>
      <c r="BT52" s="247">
        <f t="shared" si="4"/>
        <v>7</v>
      </c>
      <c r="BU52" s="248" t="s">
        <v>651</v>
      </c>
      <c r="BV52" s="51"/>
      <c r="BW52" s="49"/>
      <c r="BY52" s="48">
        <f>BR47/7</f>
        <v>0</v>
      </c>
    </row>
    <row r="53" spans="2:77" ht="20.25" outlineLevel="1">
      <c r="B53" s="479" t="s">
        <v>487</v>
      </c>
      <c r="C53" s="236" t="s">
        <v>233</v>
      </c>
      <c r="D53" s="237">
        <v>9</v>
      </c>
      <c r="E53" s="244"/>
      <c r="F53" s="237">
        <f>SUM(L53,Q53,V53,AA53,AF53,AK53,AP53,AU53,AZ53,BE53,BJ53,BO53)</f>
        <v>120</v>
      </c>
      <c r="G53" s="243">
        <f>SUM(H53:K53)</f>
        <v>74</v>
      </c>
      <c r="H53" s="237">
        <f>SUM(N53,S53,X53,AC53,AH53,AM53,AR53,AW53,BB53,BG53,BL53,BQ53)</f>
        <v>8</v>
      </c>
      <c r="I53" s="242"/>
      <c r="J53" s="242">
        <f>SUM(O53,T53,Y53,AD53,AI53,AN53,AS53,AX53,BC53,BH53,BM53,BR53)</f>
        <v>66</v>
      </c>
      <c r="K53" s="244"/>
      <c r="L53" s="237"/>
      <c r="M53" s="242"/>
      <c r="N53" s="261"/>
      <c r="O53" s="261"/>
      <c r="P53" s="242"/>
      <c r="Q53" s="242"/>
      <c r="R53" s="242"/>
      <c r="S53" s="261"/>
      <c r="T53" s="261"/>
      <c r="U53" s="244"/>
      <c r="V53" s="260"/>
      <c r="W53" s="242"/>
      <c r="X53" s="261"/>
      <c r="Y53" s="261"/>
      <c r="Z53" s="242"/>
      <c r="AA53" s="260"/>
      <c r="AB53" s="242"/>
      <c r="AC53" s="261"/>
      <c r="AD53" s="261"/>
      <c r="AE53" s="244"/>
      <c r="AF53" s="260"/>
      <c r="AG53" s="242"/>
      <c r="AH53" s="261"/>
      <c r="AI53" s="261"/>
      <c r="AJ53" s="242"/>
      <c r="AK53" s="242"/>
      <c r="AL53" s="242"/>
      <c r="AM53" s="261"/>
      <c r="AN53" s="261"/>
      <c r="AO53" s="244"/>
      <c r="AP53" s="260"/>
      <c r="AQ53" s="242"/>
      <c r="AR53" s="261"/>
      <c r="AS53" s="261"/>
      <c r="AT53" s="242"/>
      <c r="AU53" s="242"/>
      <c r="AV53" s="242"/>
      <c r="AW53" s="261"/>
      <c r="AX53" s="261"/>
      <c r="AY53" s="244"/>
      <c r="AZ53" s="260">
        <v>120</v>
      </c>
      <c r="BA53" s="242">
        <f>SUM(BB53:BC53)</f>
        <v>74</v>
      </c>
      <c r="BB53" s="261">
        <v>8</v>
      </c>
      <c r="BC53" s="261">
        <v>66</v>
      </c>
      <c r="BD53" s="242">
        <v>3</v>
      </c>
      <c r="BE53" s="260"/>
      <c r="BF53" s="242">
        <f>SUM(BG53:BH53)</f>
        <v>0</v>
      </c>
      <c r="BG53" s="261"/>
      <c r="BH53" s="261"/>
      <c r="BI53" s="244"/>
      <c r="BJ53" s="260"/>
      <c r="BK53" s="242"/>
      <c r="BL53" s="261"/>
      <c r="BM53" s="261"/>
      <c r="BN53" s="242"/>
      <c r="BO53" s="242"/>
      <c r="BP53" s="242"/>
      <c r="BQ53" s="261"/>
      <c r="BR53" s="261"/>
      <c r="BS53" s="244"/>
      <c r="BT53" s="247">
        <f t="shared" si="4"/>
        <v>3</v>
      </c>
      <c r="BU53" s="248" t="s">
        <v>652</v>
      </c>
      <c r="BV53" s="51"/>
      <c r="BW53" s="49"/>
      <c r="BY53" s="48">
        <f>BR48/7</f>
        <v>0</v>
      </c>
    </row>
    <row r="54" spans="2:73" ht="61.5" customHeight="1" outlineLevel="1">
      <c r="B54" s="478" t="s">
        <v>59</v>
      </c>
      <c r="C54" s="325" t="s">
        <v>58</v>
      </c>
      <c r="D54" s="289"/>
      <c r="E54" s="221"/>
      <c r="F54" s="326">
        <f>SUM(F56:F116)</f>
        <v>6784</v>
      </c>
      <c r="G54" s="327">
        <f>SUM(G56:G115)</f>
        <v>3668</v>
      </c>
      <c r="H54" s="328">
        <f>SUM(H56:H116)</f>
        <v>642</v>
      </c>
      <c r="I54" s="326"/>
      <c r="J54" s="326">
        <f aca="true" t="shared" si="5" ref="J54:AL54">SUM(J56:J116)</f>
        <v>3028</v>
      </c>
      <c r="K54" s="327">
        <f t="shared" si="5"/>
        <v>54</v>
      </c>
      <c r="L54" s="328">
        <f t="shared" si="5"/>
        <v>162</v>
      </c>
      <c r="M54" s="326">
        <f t="shared" si="5"/>
        <v>76</v>
      </c>
      <c r="N54" s="326">
        <f t="shared" si="5"/>
        <v>28</v>
      </c>
      <c r="O54" s="326">
        <f t="shared" si="5"/>
        <v>48</v>
      </c>
      <c r="P54" s="326">
        <f t="shared" si="5"/>
        <v>5</v>
      </c>
      <c r="Q54" s="326">
        <f t="shared" si="5"/>
        <v>72</v>
      </c>
      <c r="R54" s="326">
        <f t="shared" si="5"/>
        <v>36</v>
      </c>
      <c r="S54" s="326">
        <f t="shared" si="5"/>
        <v>18</v>
      </c>
      <c r="T54" s="326">
        <f t="shared" si="5"/>
        <v>18</v>
      </c>
      <c r="U54" s="489">
        <f t="shared" si="5"/>
        <v>2</v>
      </c>
      <c r="V54" s="328">
        <f t="shared" si="5"/>
        <v>288</v>
      </c>
      <c r="W54" s="326">
        <f t="shared" si="5"/>
        <v>140</v>
      </c>
      <c r="X54" s="326">
        <f t="shared" si="5"/>
        <v>36</v>
      </c>
      <c r="Y54" s="326">
        <f t="shared" si="5"/>
        <v>104</v>
      </c>
      <c r="Z54" s="326">
        <f t="shared" si="5"/>
        <v>8</v>
      </c>
      <c r="AA54" s="326">
        <f t="shared" si="5"/>
        <v>306</v>
      </c>
      <c r="AB54" s="326">
        <f t="shared" si="5"/>
        <v>158</v>
      </c>
      <c r="AC54" s="326">
        <f t="shared" si="5"/>
        <v>44</v>
      </c>
      <c r="AD54" s="326">
        <f t="shared" si="5"/>
        <v>114</v>
      </c>
      <c r="AE54" s="329">
        <f t="shared" si="5"/>
        <v>9</v>
      </c>
      <c r="AF54" s="330">
        <f t="shared" si="5"/>
        <v>411</v>
      </c>
      <c r="AG54" s="326">
        <f t="shared" si="5"/>
        <v>237</v>
      </c>
      <c r="AH54" s="326">
        <f t="shared" si="5"/>
        <v>48</v>
      </c>
      <c r="AI54" s="326">
        <f t="shared" si="5"/>
        <v>189</v>
      </c>
      <c r="AJ54" s="326">
        <f t="shared" si="5"/>
        <v>6</v>
      </c>
      <c r="AK54" s="326">
        <f t="shared" si="5"/>
        <v>541</v>
      </c>
      <c r="AL54" s="326">
        <f t="shared" si="5"/>
        <v>310</v>
      </c>
      <c r="AM54" s="326">
        <f>SUM(AM57:AM116)</f>
        <v>70</v>
      </c>
      <c r="AN54" s="326">
        <f>SUM(AN57:AN116)</f>
        <v>240</v>
      </c>
      <c r="AO54" s="329">
        <f aca="true" t="shared" si="6" ref="AO54:AV54">SUM(AO56:AO116)</f>
        <v>18</v>
      </c>
      <c r="AP54" s="509">
        <f>SUM(AP56:AP116)</f>
        <v>786</v>
      </c>
      <c r="AQ54" s="326">
        <f t="shared" si="6"/>
        <v>393</v>
      </c>
      <c r="AR54" s="328">
        <f t="shared" si="6"/>
        <v>98</v>
      </c>
      <c r="AS54" s="330">
        <f t="shared" si="6"/>
        <v>295</v>
      </c>
      <c r="AT54" s="326">
        <f t="shared" si="6"/>
        <v>18</v>
      </c>
      <c r="AU54" s="326">
        <f t="shared" si="6"/>
        <v>757</v>
      </c>
      <c r="AV54" s="326">
        <f t="shared" si="6"/>
        <v>402</v>
      </c>
      <c r="AW54" s="326">
        <f>SUM(AW57:AW116)</f>
        <v>88</v>
      </c>
      <c r="AX54" s="326">
        <f>SUM(AX57:AX116)</f>
        <v>314</v>
      </c>
      <c r="AY54" s="329">
        <f aca="true" t="shared" si="7" ref="AY54:BD54">SUM(AY56:AY116)</f>
        <v>21</v>
      </c>
      <c r="AZ54" s="330">
        <f t="shared" si="7"/>
        <v>824</v>
      </c>
      <c r="BA54" s="326">
        <f t="shared" si="7"/>
        <v>454</v>
      </c>
      <c r="BB54" s="326">
        <f t="shared" si="7"/>
        <v>108</v>
      </c>
      <c r="BC54" s="326">
        <f t="shared" si="7"/>
        <v>346</v>
      </c>
      <c r="BD54" s="326">
        <f t="shared" si="7"/>
        <v>19</v>
      </c>
      <c r="BE54" s="326">
        <f>SUM(BE56:BE114)</f>
        <v>635</v>
      </c>
      <c r="BF54" s="326">
        <f>SUM(BF56:BF116)</f>
        <v>322</v>
      </c>
      <c r="BG54" s="326">
        <f>SUM(BG57:BG116)</f>
        <v>52</v>
      </c>
      <c r="BH54" s="326">
        <f>SUM(BH57:BH116)</f>
        <v>270</v>
      </c>
      <c r="BI54" s="327">
        <f>SUM(BI56:BI116)</f>
        <v>19</v>
      </c>
      <c r="BJ54" s="328">
        <f>SUM(BJ56:BJ116)</f>
        <v>1067</v>
      </c>
      <c r="BK54" s="326">
        <f>SUM(BK56:BK116)</f>
        <v>631</v>
      </c>
      <c r="BL54" s="326">
        <f>SUM(BL57:BL116)</f>
        <v>42</v>
      </c>
      <c r="BM54" s="326">
        <f>SUM(BM57:BM116)</f>
        <v>589</v>
      </c>
      <c r="BN54" s="326">
        <f>SUM(BN56:BN116)</f>
        <v>30</v>
      </c>
      <c r="BO54" s="326">
        <f>SUM(BO56:BO116)</f>
        <v>935</v>
      </c>
      <c r="BP54" s="326">
        <f>SUM(BP56:BP116)</f>
        <v>565</v>
      </c>
      <c r="BQ54" s="326">
        <f>SUM(BQ57:BQ116)</f>
        <v>10</v>
      </c>
      <c r="BR54" s="326">
        <f>SUM(BR57:BR116)</f>
        <v>555</v>
      </c>
      <c r="BS54" s="329">
        <f>SUM(BS56:BS116)</f>
        <v>27</v>
      </c>
      <c r="BT54" s="331">
        <f>SUM(BT56:BT116)</f>
        <v>182</v>
      </c>
      <c r="BU54" s="332"/>
    </row>
    <row r="55" spans="2:75" ht="67.5" customHeight="1" outlineLevel="1">
      <c r="B55" s="480" t="s">
        <v>166</v>
      </c>
      <c r="C55" s="219" t="s">
        <v>588</v>
      </c>
      <c r="D55" s="289"/>
      <c r="E55" s="290"/>
      <c r="F55" s="291"/>
      <c r="G55" s="223"/>
      <c r="H55" s="291"/>
      <c r="I55" s="292"/>
      <c r="J55" s="292"/>
      <c r="K55" s="223"/>
      <c r="L55" s="293"/>
      <c r="M55" s="294"/>
      <c r="N55" s="294"/>
      <c r="O55" s="294"/>
      <c r="P55" s="228"/>
      <c r="Q55" s="295"/>
      <c r="R55" s="294"/>
      <c r="S55" s="294"/>
      <c r="T55" s="294"/>
      <c r="U55" s="229"/>
      <c r="V55" s="296"/>
      <c r="W55" s="333"/>
      <c r="X55" s="294"/>
      <c r="Y55" s="333"/>
      <c r="Z55" s="227"/>
      <c r="AA55" s="294"/>
      <c r="AB55" s="294"/>
      <c r="AC55" s="294"/>
      <c r="AD55" s="294"/>
      <c r="AE55" s="229"/>
      <c r="AF55" s="297"/>
      <c r="AG55" s="298"/>
      <c r="AH55" s="298"/>
      <c r="AI55" s="298"/>
      <c r="AJ55" s="232"/>
      <c r="AK55" s="298"/>
      <c r="AL55" s="298"/>
      <c r="AM55" s="298"/>
      <c r="AN55" s="298"/>
      <c r="AO55" s="233"/>
      <c r="AP55" s="297"/>
      <c r="AQ55" s="298"/>
      <c r="AR55" s="298"/>
      <c r="AS55" s="298"/>
      <c r="AT55" s="232"/>
      <c r="AU55" s="298"/>
      <c r="AV55" s="298"/>
      <c r="AW55" s="298"/>
      <c r="AX55" s="298"/>
      <c r="AY55" s="233"/>
      <c r="AZ55" s="297"/>
      <c r="BA55" s="298"/>
      <c r="BB55" s="298"/>
      <c r="BC55" s="298"/>
      <c r="BD55" s="232"/>
      <c r="BE55" s="298"/>
      <c r="BF55" s="298"/>
      <c r="BG55" s="298"/>
      <c r="BH55" s="298"/>
      <c r="BI55" s="233"/>
      <c r="BJ55" s="334"/>
      <c r="BK55" s="335"/>
      <c r="BL55" s="335"/>
      <c r="BM55" s="335"/>
      <c r="BN55" s="336"/>
      <c r="BO55" s="335"/>
      <c r="BP55" s="335"/>
      <c r="BQ55" s="335"/>
      <c r="BR55" s="335"/>
      <c r="BS55" s="337"/>
      <c r="BT55" s="259"/>
      <c r="BU55" s="299"/>
      <c r="BV55" s="50">
        <f>SUM(BT57:BT57)</f>
        <v>2</v>
      </c>
      <c r="BW55" s="49"/>
    </row>
    <row r="56" spans="2:77" ht="43.5" customHeight="1" outlineLevel="1">
      <c r="B56" s="476" t="s">
        <v>298</v>
      </c>
      <c r="C56" s="236" t="s">
        <v>637</v>
      </c>
      <c r="D56" s="237"/>
      <c r="E56" s="267" t="s">
        <v>162</v>
      </c>
      <c r="F56" s="264">
        <f>SUM(L56,Q56,V56,AA56,AF56,AK56,AP56,AU56,AZ56,BE56,BJ56,BO56)</f>
        <v>72</v>
      </c>
      <c r="G56" s="263">
        <f>SUM(H56:K56)</f>
        <v>36</v>
      </c>
      <c r="H56" s="264">
        <f>SUM(N56,S56,X56,AC56,AH56,AM56,AR56,AW56,BB56,BG56,BL56,BQ56)</f>
        <v>18</v>
      </c>
      <c r="I56" s="263"/>
      <c r="J56" s="263"/>
      <c r="K56" s="263">
        <f>SUM(O56,T56,Y56,AD56,AI56,AN56,AS56,AX56,BC56,BH56,BM56,BR56)</f>
        <v>18</v>
      </c>
      <c r="L56" s="264">
        <v>72</v>
      </c>
      <c r="M56" s="338">
        <f>SUM(N56:O56)</f>
        <v>36</v>
      </c>
      <c r="N56" s="263">
        <v>18</v>
      </c>
      <c r="O56" s="263">
        <v>18</v>
      </c>
      <c r="P56" s="242">
        <v>2</v>
      </c>
      <c r="Q56" s="338"/>
      <c r="R56" s="338">
        <f>SUM(S56:T56)</f>
        <v>0</v>
      </c>
      <c r="S56" s="263"/>
      <c r="T56" s="263"/>
      <c r="U56" s="240"/>
      <c r="V56" s="339"/>
      <c r="W56" s="338"/>
      <c r="X56" s="263"/>
      <c r="Y56" s="263"/>
      <c r="Z56" s="240"/>
      <c r="AA56" s="263"/>
      <c r="AB56" s="263">
        <f>SUM(AC56:AD56)</f>
        <v>0</v>
      </c>
      <c r="AC56" s="263"/>
      <c r="AD56" s="263"/>
      <c r="AE56" s="244"/>
      <c r="AF56" s="269"/>
      <c r="AG56" s="263"/>
      <c r="AH56" s="301"/>
      <c r="AI56" s="301"/>
      <c r="AJ56" s="340"/>
      <c r="AK56" s="301"/>
      <c r="AL56" s="301"/>
      <c r="AM56" s="301"/>
      <c r="AN56" s="301"/>
      <c r="AO56" s="213"/>
      <c r="AP56" s="300"/>
      <c r="AQ56" s="301"/>
      <c r="AR56" s="301"/>
      <c r="AS56" s="301"/>
      <c r="AT56" s="340"/>
      <c r="AU56" s="301"/>
      <c r="AV56" s="301"/>
      <c r="AW56" s="301"/>
      <c r="AX56" s="301"/>
      <c r="AY56" s="213"/>
      <c r="AZ56" s="300"/>
      <c r="BA56" s="301"/>
      <c r="BB56" s="301"/>
      <c r="BC56" s="301"/>
      <c r="BD56" s="340"/>
      <c r="BE56" s="301"/>
      <c r="BF56" s="301"/>
      <c r="BG56" s="301"/>
      <c r="BH56" s="301"/>
      <c r="BI56" s="213"/>
      <c r="BJ56" s="300"/>
      <c r="BK56" s="301"/>
      <c r="BL56" s="301"/>
      <c r="BM56" s="301"/>
      <c r="BN56" s="340"/>
      <c r="BO56" s="301"/>
      <c r="BP56" s="301"/>
      <c r="BQ56" s="301"/>
      <c r="BR56" s="301"/>
      <c r="BS56" s="213"/>
      <c r="BT56" s="247">
        <f>SUM(P56,U56,Z56,AE56,AJ56,AO56,AT56,AY56,BD56,BI56,BN56,BS56)</f>
        <v>2</v>
      </c>
      <c r="BU56" s="248" t="s">
        <v>668</v>
      </c>
      <c r="BX56" s="48">
        <f>BM57/7</f>
        <v>0</v>
      </c>
      <c r="BY56" s="66"/>
    </row>
    <row r="57" spans="2:77" ht="81" customHeight="1" outlineLevel="1">
      <c r="B57" s="476" t="s">
        <v>214</v>
      </c>
      <c r="C57" s="236" t="s">
        <v>638</v>
      </c>
      <c r="D57" s="237"/>
      <c r="E57" s="267" t="s">
        <v>382</v>
      </c>
      <c r="F57" s="264">
        <f>SUM(L57,Q57,V57,AA57,AF57,AK57,AP57,AU57,AZ57,BE57,BJ57,BO57)</f>
        <v>72</v>
      </c>
      <c r="G57" s="263">
        <f>SUM(H57:K57)</f>
        <v>36</v>
      </c>
      <c r="H57" s="264">
        <f>SUM(N57,S57,X57,AC57,AH57,AM57,AR57,AW57,BB57,BG57,BL57,BQ57)</f>
        <v>18</v>
      </c>
      <c r="I57" s="263"/>
      <c r="J57" s="263"/>
      <c r="K57" s="263">
        <f>SUM(O57,T57,Y57,AD57,AI57,AN57,AS57,AX57,BC57,BH57,BM57,BR57)</f>
        <v>18</v>
      </c>
      <c r="L57" s="264"/>
      <c r="M57" s="338">
        <f>SUM(N57:O57)</f>
        <v>0</v>
      </c>
      <c r="N57" s="263"/>
      <c r="O57" s="263"/>
      <c r="P57" s="240"/>
      <c r="Q57" s="263">
        <v>72</v>
      </c>
      <c r="R57" s="263">
        <f>SUM(S57:T57)</f>
        <v>36</v>
      </c>
      <c r="S57" s="263">
        <v>18</v>
      </c>
      <c r="T57" s="263">
        <v>18</v>
      </c>
      <c r="U57" s="243">
        <v>2</v>
      </c>
      <c r="V57" s="339"/>
      <c r="W57" s="338"/>
      <c r="X57" s="263"/>
      <c r="Y57" s="263"/>
      <c r="Z57" s="240"/>
      <c r="AA57" s="263"/>
      <c r="AB57" s="263">
        <f>SUM(AC57:AD57)</f>
        <v>0</v>
      </c>
      <c r="AC57" s="263"/>
      <c r="AD57" s="263"/>
      <c r="AE57" s="244"/>
      <c r="AF57" s="269"/>
      <c r="AG57" s="263"/>
      <c r="AH57" s="301"/>
      <c r="AI57" s="301"/>
      <c r="AJ57" s="340"/>
      <c r="AK57" s="301"/>
      <c r="AL57" s="301"/>
      <c r="AM57" s="301"/>
      <c r="AN57" s="301"/>
      <c r="AO57" s="213"/>
      <c r="AP57" s="300"/>
      <c r="AQ57" s="301"/>
      <c r="AR57" s="301"/>
      <c r="AS57" s="301"/>
      <c r="AT57" s="340"/>
      <c r="AU57" s="301"/>
      <c r="AV57" s="301"/>
      <c r="AW57" s="301"/>
      <c r="AX57" s="301"/>
      <c r="AY57" s="213"/>
      <c r="AZ57" s="300"/>
      <c r="BA57" s="301"/>
      <c r="BB57" s="301"/>
      <c r="BC57" s="301"/>
      <c r="BD57" s="340"/>
      <c r="BE57" s="301"/>
      <c r="BF57" s="301"/>
      <c r="BG57" s="301"/>
      <c r="BH57" s="301"/>
      <c r="BI57" s="213"/>
      <c r="BJ57" s="300"/>
      <c r="BK57" s="301"/>
      <c r="BL57" s="301"/>
      <c r="BM57" s="301"/>
      <c r="BN57" s="340"/>
      <c r="BO57" s="301"/>
      <c r="BP57" s="301"/>
      <c r="BQ57" s="301"/>
      <c r="BR57" s="301"/>
      <c r="BS57" s="213"/>
      <c r="BT57" s="247">
        <f>SUM(P57,U57,Z57,AE57,AJ57,AO57,AT57,AY57,BD57,BI57,BN57,BS57)</f>
        <v>2</v>
      </c>
      <c r="BU57" s="248" t="s">
        <v>669</v>
      </c>
      <c r="BY57" s="66"/>
    </row>
    <row r="58" spans="2:77" ht="101.25" customHeight="1" outlineLevel="1">
      <c r="B58" s="476" t="s">
        <v>569</v>
      </c>
      <c r="C58" s="236" t="s">
        <v>589</v>
      </c>
      <c r="D58" s="237"/>
      <c r="E58" s="267" t="s">
        <v>575</v>
      </c>
      <c r="F58" s="264">
        <f>SUM(L58,Q58,V58,AA58,AF58,AK58,AP58,AU58,AZ58,BE58,BJ58,BO58)</f>
        <v>72</v>
      </c>
      <c r="G58" s="263">
        <f>SUM(H58:K58)</f>
        <v>36</v>
      </c>
      <c r="H58" s="264">
        <f>SUM(N58,S58,X58,AC58,AH58,AM58,AR58,AW58,BB58,BG58,BL58,BQ58)</f>
        <v>18</v>
      </c>
      <c r="I58" s="263"/>
      <c r="J58" s="263"/>
      <c r="K58" s="263">
        <f>SUM(O58,T58,Y58,AD58,AI58,AN58,AS58,AX58,BC58,BH58,BM58,BR58)</f>
        <v>18</v>
      </c>
      <c r="L58" s="264"/>
      <c r="M58" s="263"/>
      <c r="N58" s="263"/>
      <c r="O58" s="263"/>
      <c r="P58" s="242"/>
      <c r="Q58" s="338"/>
      <c r="R58" s="338">
        <f>SUM(S58:T58)</f>
        <v>0</v>
      </c>
      <c r="S58" s="263"/>
      <c r="T58" s="263"/>
      <c r="U58" s="240"/>
      <c r="V58" s="339">
        <v>72</v>
      </c>
      <c r="W58" s="338">
        <f>SUM(X58:Y58)</f>
        <v>36</v>
      </c>
      <c r="X58" s="263">
        <v>18</v>
      </c>
      <c r="Y58" s="263">
        <v>18</v>
      </c>
      <c r="Z58" s="240">
        <v>2</v>
      </c>
      <c r="AA58" s="263"/>
      <c r="AB58" s="263">
        <f>SUM(AC58:AD58)</f>
        <v>0</v>
      </c>
      <c r="AC58" s="263"/>
      <c r="AD58" s="263"/>
      <c r="AE58" s="244"/>
      <c r="AF58" s="269"/>
      <c r="AG58" s="263"/>
      <c r="AH58" s="301"/>
      <c r="AI58" s="301"/>
      <c r="AJ58" s="340"/>
      <c r="AK58" s="301"/>
      <c r="AL58" s="301"/>
      <c r="AM58" s="301"/>
      <c r="AN58" s="301"/>
      <c r="AO58" s="213"/>
      <c r="AP58" s="300"/>
      <c r="AQ58" s="301"/>
      <c r="AR58" s="301"/>
      <c r="AS58" s="301"/>
      <c r="AT58" s="340"/>
      <c r="AU58" s="301"/>
      <c r="AV58" s="301"/>
      <c r="AW58" s="301"/>
      <c r="AX58" s="301"/>
      <c r="AY58" s="213"/>
      <c r="AZ58" s="300"/>
      <c r="BA58" s="301"/>
      <c r="BB58" s="301"/>
      <c r="BC58" s="301"/>
      <c r="BD58" s="340"/>
      <c r="BE58" s="301"/>
      <c r="BF58" s="301"/>
      <c r="BG58" s="301"/>
      <c r="BH58" s="301"/>
      <c r="BI58" s="213"/>
      <c r="BJ58" s="300"/>
      <c r="BK58" s="301"/>
      <c r="BL58" s="301"/>
      <c r="BM58" s="301"/>
      <c r="BN58" s="340"/>
      <c r="BO58" s="301"/>
      <c r="BP58" s="301"/>
      <c r="BQ58" s="301"/>
      <c r="BR58" s="301"/>
      <c r="BS58" s="213"/>
      <c r="BT58" s="247">
        <f>SUM(P58,U58,Z58,AE58,AJ58,AO58,AT58,AY58,BD58,BI58,BN58,BS58)</f>
        <v>2</v>
      </c>
      <c r="BU58" s="248" t="s">
        <v>607</v>
      </c>
      <c r="BY58" s="66"/>
    </row>
    <row r="59" spans="2:81" ht="42" customHeight="1" outlineLevel="1">
      <c r="B59" s="480" t="s">
        <v>250</v>
      </c>
      <c r="C59" s="219" t="s">
        <v>527</v>
      </c>
      <c r="D59" s="220"/>
      <c r="E59" s="221"/>
      <c r="F59" s="224"/>
      <c r="G59" s="223"/>
      <c r="H59" s="319"/>
      <c r="I59" s="225"/>
      <c r="J59" s="225"/>
      <c r="K59" s="225"/>
      <c r="L59" s="234"/>
      <c r="M59" s="320"/>
      <c r="N59" s="320"/>
      <c r="O59" s="320"/>
      <c r="P59" s="320"/>
      <c r="Q59" s="320"/>
      <c r="R59" s="320"/>
      <c r="S59" s="320"/>
      <c r="T59" s="320"/>
      <c r="U59" s="321"/>
      <c r="V59" s="322"/>
      <c r="W59" s="320"/>
      <c r="X59" s="320"/>
      <c r="Y59" s="320"/>
      <c r="Z59" s="320"/>
      <c r="AA59" s="320"/>
      <c r="AB59" s="320"/>
      <c r="AC59" s="320"/>
      <c r="AD59" s="320"/>
      <c r="AE59" s="321"/>
      <c r="AF59" s="322"/>
      <c r="AG59" s="320"/>
      <c r="AH59" s="320"/>
      <c r="AI59" s="320"/>
      <c r="AJ59" s="320"/>
      <c r="AK59" s="320"/>
      <c r="AL59" s="320"/>
      <c r="AM59" s="320"/>
      <c r="AN59" s="320"/>
      <c r="AO59" s="321"/>
      <c r="AP59" s="322"/>
      <c r="AQ59" s="320"/>
      <c r="AR59" s="320"/>
      <c r="AS59" s="320"/>
      <c r="AT59" s="320"/>
      <c r="AU59" s="320"/>
      <c r="AV59" s="320"/>
      <c r="AW59" s="320"/>
      <c r="AX59" s="320"/>
      <c r="AY59" s="321"/>
      <c r="AZ59" s="322"/>
      <c r="BA59" s="320"/>
      <c r="BB59" s="320"/>
      <c r="BC59" s="320"/>
      <c r="BD59" s="320"/>
      <c r="BE59" s="320"/>
      <c r="BF59" s="320"/>
      <c r="BG59" s="320"/>
      <c r="BH59" s="320"/>
      <c r="BI59" s="321"/>
      <c r="BJ59" s="323"/>
      <c r="BK59" s="320"/>
      <c r="BL59" s="320"/>
      <c r="BM59" s="320"/>
      <c r="BN59" s="320"/>
      <c r="BO59" s="320"/>
      <c r="BP59" s="320"/>
      <c r="BQ59" s="320"/>
      <c r="BR59" s="320"/>
      <c r="BS59" s="321"/>
      <c r="BT59" s="259"/>
      <c r="BU59" s="235"/>
      <c r="BV59" s="50">
        <f>SUM(BT60:BT61)</f>
        <v>12</v>
      </c>
      <c r="BW59" s="49"/>
      <c r="BX59" s="49"/>
      <c r="BY59" s="49"/>
      <c r="BZ59" s="47"/>
      <c r="CA59" s="47"/>
      <c r="CB59" s="47"/>
      <c r="CC59" s="47"/>
    </row>
    <row r="60" spans="2:73" ht="42" customHeight="1" outlineLevel="1">
      <c r="B60" s="479" t="s">
        <v>251</v>
      </c>
      <c r="C60" s="236" t="s">
        <v>350</v>
      </c>
      <c r="D60" s="237">
        <v>1</v>
      </c>
      <c r="E60" s="244"/>
      <c r="F60" s="237">
        <f>SUM(L60,Q60,V60,AA60,AF60,AK60,AP60,AU60,AZ60,BE60,BJ60,BO60)</f>
        <v>90</v>
      </c>
      <c r="G60" s="243">
        <f>SUM(H60:K60)</f>
        <v>40</v>
      </c>
      <c r="H60" s="237">
        <f>SUM(N60,S60,X60,AC60,AH60,AM60,AR60,AW60,BB60,BG60,BL60,BQ60)</f>
        <v>10</v>
      </c>
      <c r="I60" s="242"/>
      <c r="J60" s="242">
        <f>SUM(O60,T60,Y60,AD60,AI60,AN60,AS60,AX60,BC60,BH60,BM60,BR60)</f>
        <v>30</v>
      </c>
      <c r="K60" s="244"/>
      <c r="L60" s="237">
        <v>90</v>
      </c>
      <c r="M60" s="242">
        <f>SUM(N60:O60)</f>
        <v>40</v>
      </c>
      <c r="N60" s="261">
        <v>10</v>
      </c>
      <c r="O60" s="261">
        <v>30</v>
      </c>
      <c r="P60" s="242">
        <v>3</v>
      </c>
      <c r="Q60" s="260"/>
      <c r="R60" s="242">
        <f>SUM(S60:T60)</f>
        <v>0</v>
      </c>
      <c r="S60" s="261"/>
      <c r="T60" s="261"/>
      <c r="U60" s="244"/>
      <c r="V60" s="260">
        <f>W60*1.6</f>
        <v>0</v>
      </c>
      <c r="W60" s="242">
        <f>SUM(X60:Y60)</f>
        <v>0</v>
      </c>
      <c r="X60" s="261"/>
      <c r="Y60" s="261"/>
      <c r="Z60" s="242">
        <f>V60/36</f>
        <v>0</v>
      </c>
      <c r="AA60" s="242"/>
      <c r="AB60" s="242">
        <f>SUM(AC60:AD60)</f>
        <v>0</v>
      </c>
      <c r="AC60" s="261"/>
      <c r="AD60" s="261"/>
      <c r="AE60" s="244"/>
      <c r="AF60" s="260"/>
      <c r="AG60" s="242"/>
      <c r="AH60" s="261"/>
      <c r="AI60" s="261"/>
      <c r="AJ60" s="242"/>
      <c r="AK60" s="242"/>
      <c r="AL60" s="242"/>
      <c r="AM60" s="261"/>
      <c r="AN60" s="261"/>
      <c r="AO60" s="244"/>
      <c r="AP60" s="260"/>
      <c r="AQ60" s="242"/>
      <c r="AR60" s="261"/>
      <c r="AS60" s="261"/>
      <c r="AT60" s="242"/>
      <c r="AU60" s="242"/>
      <c r="AV60" s="242"/>
      <c r="AW60" s="261"/>
      <c r="AX60" s="261"/>
      <c r="AY60" s="244"/>
      <c r="AZ60" s="260"/>
      <c r="BA60" s="242"/>
      <c r="BB60" s="261"/>
      <c r="BC60" s="261"/>
      <c r="BD60" s="242"/>
      <c r="BE60" s="242"/>
      <c r="BF60" s="242"/>
      <c r="BG60" s="261"/>
      <c r="BH60" s="261"/>
      <c r="BI60" s="244"/>
      <c r="BJ60" s="260"/>
      <c r="BK60" s="242"/>
      <c r="BL60" s="261"/>
      <c r="BM60" s="261"/>
      <c r="BN60" s="242"/>
      <c r="BO60" s="242"/>
      <c r="BP60" s="242"/>
      <c r="BQ60" s="261"/>
      <c r="BR60" s="261"/>
      <c r="BS60" s="244"/>
      <c r="BT60" s="247">
        <f aca="true" t="shared" si="8" ref="BT60:BT116">SUM(P60,U60,Z60,AE60,AJ60,AO60,AT60,AY60,BD60,BI60,BN60,BS60)</f>
        <v>3</v>
      </c>
      <c r="BU60" s="248" t="s">
        <v>655</v>
      </c>
    </row>
    <row r="61" spans="2:73" ht="59.25" customHeight="1" outlineLevel="1">
      <c r="B61" s="479" t="s">
        <v>252</v>
      </c>
      <c r="C61" s="236" t="s">
        <v>143</v>
      </c>
      <c r="D61" s="237">
        <v>4</v>
      </c>
      <c r="E61" s="244">
        <v>3</v>
      </c>
      <c r="F61" s="237">
        <f>SUM(L61,Q61,V61,AA61,AF61,AK61,AP61,AU61,AZ61,BE61,BJ61,BO61)</f>
        <v>324</v>
      </c>
      <c r="G61" s="243">
        <f>SUM(H61:K61)</f>
        <v>172</v>
      </c>
      <c r="H61" s="237">
        <f>SUM(N61,S61,X61,AC61,AH61,AM61,AR61,AW61,BB61,BG61,BL61,BQ61)</f>
        <v>32</v>
      </c>
      <c r="I61" s="242">
        <f>SUM(O61,T61,Y61,AD61,AI61,AN61,AS61,AX61,BC61,BH61,BM61,BR61)-J61</f>
        <v>0</v>
      </c>
      <c r="J61" s="242">
        <f>SUM(O61,T61,Y61,AD61,AI61,AN61,AS61,AX61,BC61,BH61,BM61,BR61)</f>
        <v>140</v>
      </c>
      <c r="K61" s="244"/>
      <c r="L61" s="237"/>
      <c r="M61" s="242"/>
      <c r="N61" s="261"/>
      <c r="O61" s="261"/>
      <c r="P61" s="242"/>
      <c r="Q61" s="242"/>
      <c r="R61" s="242"/>
      <c r="S61" s="261"/>
      <c r="T61" s="261"/>
      <c r="U61" s="244">
        <f>Q61/36</f>
        <v>0</v>
      </c>
      <c r="V61" s="260">
        <v>216</v>
      </c>
      <c r="W61" s="242">
        <f>SUM(X61:Y61)</f>
        <v>104</v>
      </c>
      <c r="X61" s="261">
        <v>18</v>
      </c>
      <c r="Y61" s="261">
        <v>86</v>
      </c>
      <c r="Z61" s="242">
        <v>6</v>
      </c>
      <c r="AA61" s="260">
        <v>108</v>
      </c>
      <c r="AB61" s="242">
        <f>SUM(AC61:AD61)</f>
        <v>68</v>
      </c>
      <c r="AC61" s="261">
        <v>14</v>
      </c>
      <c r="AD61" s="261">
        <v>54</v>
      </c>
      <c r="AE61" s="244">
        <v>3</v>
      </c>
      <c r="AF61" s="260"/>
      <c r="AG61" s="242"/>
      <c r="AH61" s="261"/>
      <c r="AI61" s="261"/>
      <c r="AJ61" s="242"/>
      <c r="AK61" s="242"/>
      <c r="AL61" s="242"/>
      <c r="AM61" s="261"/>
      <c r="AN61" s="261"/>
      <c r="AO61" s="244"/>
      <c r="AP61" s="260"/>
      <c r="AQ61" s="242"/>
      <c r="AR61" s="261"/>
      <c r="AS61" s="261"/>
      <c r="AT61" s="242"/>
      <c r="AU61" s="242"/>
      <c r="AV61" s="242"/>
      <c r="AW61" s="261"/>
      <c r="AX61" s="261"/>
      <c r="AY61" s="244"/>
      <c r="AZ61" s="260"/>
      <c r="BA61" s="242"/>
      <c r="BB61" s="261"/>
      <c r="BC61" s="261"/>
      <c r="BD61" s="242"/>
      <c r="BE61" s="242"/>
      <c r="BF61" s="242"/>
      <c r="BG61" s="261"/>
      <c r="BH61" s="261"/>
      <c r="BI61" s="244"/>
      <c r="BJ61" s="260"/>
      <c r="BK61" s="242"/>
      <c r="BL61" s="261"/>
      <c r="BM61" s="261"/>
      <c r="BN61" s="242"/>
      <c r="BO61" s="242"/>
      <c r="BP61" s="242"/>
      <c r="BQ61" s="261"/>
      <c r="BR61" s="261"/>
      <c r="BS61" s="244"/>
      <c r="BT61" s="247">
        <f t="shared" si="8"/>
        <v>9</v>
      </c>
      <c r="BU61" s="248" t="s">
        <v>315</v>
      </c>
    </row>
    <row r="62" spans="2:74" ht="67.5" customHeight="1" outlineLevel="1">
      <c r="B62" s="480" t="s">
        <v>253</v>
      </c>
      <c r="C62" s="303" t="s">
        <v>354</v>
      </c>
      <c r="D62" s="289"/>
      <c r="E62" s="313"/>
      <c r="F62" s="289"/>
      <c r="G62" s="324"/>
      <c r="H62" s="289"/>
      <c r="I62" s="310"/>
      <c r="J62" s="310"/>
      <c r="K62" s="313"/>
      <c r="L62" s="289"/>
      <c r="M62" s="310"/>
      <c r="N62" s="312"/>
      <c r="O62" s="312"/>
      <c r="P62" s="310"/>
      <c r="Q62" s="310"/>
      <c r="R62" s="310"/>
      <c r="S62" s="312"/>
      <c r="T62" s="312"/>
      <c r="U62" s="313"/>
      <c r="V62" s="311"/>
      <c r="W62" s="310"/>
      <c r="X62" s="312"/>
      <c r="Y62" s="312"/>
      <c r="Z62" s="310"/>
      <c r="AA62" s="311"/>
      <c r="AB62" s="310"/>
      <c r="AC62" s="312"/>
      <c r="AD62" s="312"/>
      <c r="AE62" s="313"/>
      <c r="AF62" s="311"/>
      <c r="AG62" s="310"/>
      <c r="AH62" s="312"/>
      <c r="AI62" s="312"/>
      <c r="AJ62" s="310"/>
      <c r="AK62" s="310"/>
      <c r="AL62" s="310"/>
      <c r="AM62" s="312"/>
      <c r="AN62" s="312"/>
      <c r="AO62" s="313"/>
      <c r="AP62" s="311"/>
      <c r="AQ62" s="310"/>
      <c r="AR62" s="312"/>
      <c r="AS62" s="312"/>
      <c r="AT62" s="310"/>
      <c r="AU62" s="310"/>
      <c r="AV62" s="310"/>
      <c r="AW62" s="312"/>
      <c r="AX62" s="312"/>
      <c r="AY62" s="313"/>
      <c r="AZ62" s="311"/>
      <c r="BA62" s="310"/>
      <c r="BB62" s="312"/>
      <c r="BC62" s="312"/>
      <c r="BD62" s="310"/>
      <c r="BE62" s="310"/>
      <c r="BF62" s="310"/>
      <c r="BG62" s="312"/>
      <c r="BH62" s="312"/>
      <c r="BI62" s="313"/>
      <c r="BJ62" s="311"/>
      <c r="BK62" s="310"/>
      <c r="BL62" s="312"/>
      <c r="BM62" s="312"/>
      <c r="BN62" s="310"/>
      <c r="BO62" s="310"/>
      <c r="BP62" s="310"/>
      <c r="BQ62" s="312"/>
      <c r="BR62" s="312"/>
      <c r="BS62" s="313"/>
      <c r="BT62" s="259"/>
      <c r="BU62" s="314"/>
      <c r="BV62" s="50">
        <f>SUM(BT63:BT64)</f>
        <v>15</v>
      </c>
    </row>
    <row r="63" spans="2:73" ht="42" customHeight="1" outlineLevel="1">
      <c r="B63" s="479" t="s">
        <v>254</v>
      </c>
      <c r="C63" s="236" t="s">
        <v>221</v>
      </c>
      <c r="D63" s="237">
        <v>6</v>
      </c>
      <c r="E63" s="244" t="s">
        <v>198</v>
      </c>
      <c r="F63" s="237">
        <f>SUM(L63,Q63,V63,AA63,AF63,AK63,AP63,AU63,AZ63,BE63,BJ63,BO63)</f>
        <v>448</v>
      </c>
      <c r="G63" s="243">
        <f>SUM(H63:K63)</f>
        <v>241</v>
      </c>
      <c r="H63" s="237">
        <f>SUM(N63,S63,X63,AC63,AH63,AM63,AR63,AW63,BB63,BG63,BL63,BQ63)</f>
        <v>52</v>
      </c>
      <c r="I63" s="242"/>
      <c r="J63" s="242">
        <f>SUM(O63,T63,Y63,AD63,AI63,AN63,AS63,AX63,BC63,BH63,BM63,BR63)</f>
        <v>189</v>
      </c>
      <c r="K63" s="244"/>
      <c r="L63" s="237"/>
      <c r="M63" s="242"/>
      <c r="N63" s="261"/>
      <c r="O63" s="261"/>
      <c r="P63" s="242"/>
      <c r="Q63" s="242"/>
      <c r="R63" s="242"/>
      <c r="S63" s="261"/>
      <c r="T63" s="261"/>
      <c r="U63" s="244"/>
      <c r="V63" s="260"/>
      <c r="W63" s="242"/>
      <c r="X63" s="261"/>
      <c r="Y63" s="261"/>
      <c r="Z63" s="242">
        <f>V63/36</f>
        <v>0</v>
      </c>
      <c r="AA63" s="242">
        <v>108</v>
      </c>
      <c r="AB63" s="242">
        <f>SUM(AC63:AD63)</f>
        <v>54</v>
      </c>
      <c r="AC63" s="242">
        <v>16</v>
      </c>
      <c r="AD63" s="242">
        <v>38</v>
      </c>
      <c r="AE63" s="244">
        <v>3</v>
      </c>
      <c r="AF63" s="260">
        <v>216</v>
      </c>
      <c r="AG63" s="242">
        <f>SUM(AH63:AI63)</f>
        <v>105</v>
      </c>
      <c r="AH63" s="261">
        <v>18</v>
      </c>
      <c r="AI63" s="261">
        <v>87</v>
      </c>
      <c r="AJ63" s="242">
        <v>6</v>
      </c>
      <c r="AK63" s="242">
        <v>124</v>
      </c>
      <c r="AL63" s="242">
        <f>SUM(AM63:AN63)</f>
        <v>82</v>
      </c>
      <c r="AM63" s="261">
        <v>18</v>
      </c>
      <c r="AN63" s="261">
        <v>64</v>
      </c>
      <c r="AO63" s="244">
        <v>3</v>
      </c>
      <c r="AP63" s="260"/>
      <c r="AQ63" s="242"/>
      <c r="AR63" s="261"/>
      <c r="AS63" s="261"/>
      <c r="AT63" s="242"/>
      <c r="AU63" s="242"/>
      <c r="AV63" s="242"/>
      <c r="AW63" s="261"/>
      <c r="AX63" s="261"/>
      <c r="AY63" s="244"/>
      <c r="AZ63" s="260"/>
      <c r="BA63" s="242"/>
      <c r="BB63" s="261"/>
      <c r="BC63" s="261"/>
      <c r="BD63" s="242"/>
      <c r="BE63" s="242"/>
      <c r="BF63" s="242"/>
      <c r="BG63" s="261"/>
      <c r="BH63" s="261"/>
      <c r="BI63" s="244"/>
      <c r="BJ63" s="260"/>
      <c r="BK63" s="242"/>
      <c r="BL63" s="261"/>
      <c r="BM63" s="261"/>
      <c r="BN63" s="242"/>
      <c r="BO63" s="242"/>
      <c r="BP63" s="242"/>
      <c r="BQ63" s="261"/>
      <c r="BR63" s="261"/>
      <c r="BS63" s="244"/>
      <c r="BT63" s="247">
        <f t="shared" si="8"/>
        <v>12</v>
      </c>
      <c r="BU63" s="248" t="s">
        <v>316</v>
      </c>
    </row>
    <row r="64" spans="2:73" ht="43.5" customHeight="1" outlineLevel="1">
      <c r="B64" s="479" t="s">
        <v>255</v>
      </c>
      <c r="C64" s="236" t="s">
        <v>72</v>
      </c>
      <c r="D64" s="237"/>
      <c r="E64" s="244" t="s">
        <v>238</v>
      </c>
      <c r="F64" s="237">
        <f>SUM(L64,Q64,V64,AA64,AF64,AK64,AP64,AU64,AZ64,BE64,BJ64,BO64)</f>
        <v>120</v>
      </c>
      <c r="G64" s="243">
        <f>SUM(H64:K64)</f>
        <v>78</v>
      </c>
      <c r="H64" s="237">
        <f>SUM(N64,S64,X64,AC64,AH64,AM64,AR64,AW64,BB64,BG64,BL64,BQ64)</f>
        <v>20</v>
      </c>
      <c r="I64" s="242"/>
      <c r="J64" s="242">
        <f>SUM(O64,T64,Y64,AD64,AI64,AN64,AS64,AX64,BC64,BH64,BM64,BR64)</f>
        <v>58</v>
      </c>
      <c r="K64" s="244"/>
      <c r="L64" s="237"/>
      <c r="M64" s="242"/>
      <c r="N64" s="261"/>
      <c r="O64" s="261"/>
      <c r="P64" s="242"/>
      <c r="Q64" s="242"/>
      <c r="R64" s="242"/>
      <c r="S64" s="261"/>
      <c r="T64" s="261"/>
      <c r="U64" s="244"/>
      <c r="V64" s="260"/>
      <c r="W64" s="242"/>
      <c r="X64" s="261"/>
      <c r="Y64" s="261"/>
      <c r="Z64" s="242"/>
      <c r="AA64" s="242">
        <f>AB64*1.4</f>
        <v>0</v>
      </c>
      <c r="AB64" s="242">
        <f>SUM(AC64:AD64)</f>
        <v>0</v>
      </c>
      <c r="AC64" s="261"/>
      <c r="AD64" s="261"/>
      <c r="AE64" s="244">
        <f>AA64/36</f>
        <v>0</v>
      </c>
      <c r="AF64" s="260">
        <v>60</v>
      </c>
      <c r="AG64" s="242">
        <f>SUM(AH64:AI64)</f>
        <v>42</v>
      </c>
      <c r="AH64" s="261">
        <v>12</v>
      </c>
      <c r="AI64" s="261">
        <v>30</v>
      </c>
      <c r="AJ64" s="242"/>
      <c r="AK64" s="242">
        <v>60</v>
      </c>
      <c r="AL64" s="242">
        <f>SUM(AM64:AN64)</f>
        <v>36</v>
      </c>
      <c r="AM64" s="261">
        <v>8</v>
      </c>
      <c r="AN64" s="261">
        <v>28</v>
      </c>
      <c r="AO64" s="244">
        <v>3</v>
      </c>
      <c r="AP64" s="260"/>
      <c r="AQ64" s="242"/>
      <c r="AR64" s="261"/>
      <c r="AS64" s="261"/>
      <c r="AT64" s="242"/>
      <c r="AU64" s="242"/>
      <c r="AV64" s="242"/>
      <c r="AW64" s="261"/>
      <c r="AX64" s="261"/>
      <c r="AY64" s="244"/>
      <c r="AZ64" s="260"/>
      <c r="BA64" s="242"/>
      <c r="BB64" s="261"/>
      <c r="BC64" s="261"/>
      <c r="BD64" s="242"/>
      <c r="BE64" s="242"/>
      <c r="BF64" s="242"/>
      <c r="BG64" s="261"/>
      <c r="BH64" s="261"/>
      <c r="BI64" s="244"/>
      <c r="BJ64" s="260"/>
      <c r="BK64" s="242"/>
      <c r="BL64" s="261"/>
      <c r="BM64" s="261"/>
      <c r="BN64" s="242"/>
      <c r="BO64" s="242"/>
      <c r="BP64" s="242"/>
      <c r="BQ64" s="261"/>
      <c r="BR64" s="261"/>
      <c r="BS64" s="244"/>
      <c r="BT64" s="247">
        <f t="shared" si="8"/>
        <v>3</v>
      </c>
      <c r="BU64" s="248" t="s">
        <v>317</v>
      </c>
    </row>
    <row r="65" spans="2:74" ht="39" outlineLevel="1">
      <c r="B65" s="480" t="s">
        <v>236</v>
      </c>
      <c r="C65" s="303" t="s">
        <v>355</v>
      </c>
      <c r="D65" s="289"/>
      <c r="E65" s="313"/>
      <c r="F65" s="289"/>
      <c r="G65" s="324"/>
      <c r="H65" s="289"/>
      <c r="I65" s="310"/>
      <c r="J65" s="310"/>
      <c r="K65" s="313"/>
      <c r="L65" s="289"/>
      <c r="M65" s="310"/>
      <c r="N65" s="312"/>
      <c r="O65" s="312"/>
      <c r="P65" s="310"/>
      <c r="Q65" s="310"/>
      <c r="R65" s="310"/>
      <c r="S65" s="312"/>
      <c r="T65" s="312"/>
      <c r="U65" s="313"/>
      <c r="V65" s="311"/>
      <c r="W65" s="310"/>
      <c r="X65" s="312"/>
      <c r="Y65" s="312"/>
      <c r="Z65" s="310"/>
      <c r="AA65" s="311"/>
      <c r="AB65" s="310"/>
      <c r="AC65" s="312"/>
      <c r="AD65" s="312"/>
      <c r="AE65" s="313"/>
      <c r="AF65" s="311"/>
      <c r="AG65" s="310"/>
      <c r="AH65" s="312"/>
      <c r="AI65" s="312"/>
      <c r="AJ65" s="310"/>
      <c r="AK65" s="310"/>
      <c r="AL65" s="310"/>
      <c r="AM65" s="312"/>
      <c r="AN65" s="312"/>
      <c r="AO65" s="313"/>
      <c r="AP65" s="311"/>
      <c r="AQ65" s="310"/>
      <c r="AR65" s="312"/>
      <c r="AS65" s="312"/>
      <c r="AT65" s="310"/>
      <c r="AU65" s="310"/>
      <c r="AV65" s="310"/>
      <c r="AW65" s="312"/>
      <c r="AX65" s="312"/>
      <c r="AY65" s="313"/>
      <c r="AZ65" s="311"/>
      <c r="BA65" s="310"/>
      <c r="BB65" s="312"/>
      <c r="BC65" s="312"/>
      <c r="BD65" s="310"/>
      <c r="BE65" s="310"/>
      <c r="BF65" s="310"/>
      <c r="BG65" s="312"/>
      <c r="BH65" s="312"/>
      <c r="BI65" s="313"/>
      <c r="BJ65" s="311"/>
      <c r="BK65" s="310"/>
      <c r="BL65" s="312"/>
      <c r="BM65" s="312"/>
      <c r="BN65" s="310"/>
      <c r="BO65" s="310"/>
      <c r="BP65" s="310"/>
      <c r="BQ65" s="312"/>
      <c r="BR65" s="312"/>
      <c r="BS65" s="313"/>
      <c r="BT65" s="259"/>
      <c r="BU65" s="314"/>
      <c r="BV65" s="50">
        <f>SUM(BT66:BT71)</f>
        <v>27</v>
      </c>
    </row>
    <row r="66" spans="2:73" ht="19.5" outlineLevel="1">
      <c r="B66" s="479" t="s">
        <v>256</v>
      </c>
      <c r="C66" s="236" t="s">
        <v>77</v>
      </c>
      <c r="D66" s="237">
        <v>7</v>
      </c>
      <c r="E66" s="244">
        <v>6</v>
      </c>
      <c r="F66" s="237">
        <f aca="true" t="shared" si="9" ref="F66:F71">SUM(L66,Q66,V66,AA66,AF66,AK66,AP66,AU66,AZ66,BE66,BJ66,BO66)</f>
        <v>216</v>
      </c>
      <c r="G66" s="243">
        <f aca="true" t="shared" si="10" ref="G66:G71">SUM(H66:K66)</f>
        <v>96</v>
      </c>
      <c r="H66" s="237">
        <f aca="true" t="shared" si="11" ref="H66:H71">SUM(N66,S66,X66,AC66,AH66,AM66,AR66,AW66,BB66,BG66,BL66,BQ66)</f>
        <v>20</v>
      </c>
      <c r="I66" s="242"/>
      <c r="J66" s="242">
        <f aca="true" t="shared" si="12" ref="J66:J71">SUM(O66,T66,Y66,AD66,AI66,AN66,AS66,AX66,BC66,BH66,BM66,BR66)</f>
        <v>76</v>
      </c>
      <c r="K66" s="244"/>
      <c r="L66" s="237"/>
      <c r="M66" s="242"/>
      <c r="N66" s="261"/>
      <c r="O66" s="261"/>
      <c r="P66" s="242"/>
      <c r="Q66" s="242"/>
      <c r="R66" s="242"/>
      <c r="S66" s="261"/>
      <c r="T66" s="261"/>
      <c r="U66" s="244"/>
      <c r="V66" s="260"/>
      <c r="W66" s="242"/>
      <c r="X66" s="261"/>
      <c r="Y66" s="261"/>
      <c r="Z66" s="242"/>
      <c r="AA66" s="242"/>
      <c r="AB66" s="242"/>
      <c r="AC66" s="261"/>
      <c r="AD66" s="261"/>
      <c r="AE66" s="244"/>
      <c r="AF66" s="260"/>
      <c r="AG66" s="242"/>
      <c r="AH66" s="261"/>
      <c r="AI66" s="261"/>
      <c r="AJ66" s="242"/>
      <c r="AK66" s="242">
        <v>108</v>
      </c>
      <c r="AL66" s="242">
        <f>SUM(AM66:AN66)</f>
        <v>50</v>
      </c>
      <c r="AM66" s="261">
        <v>10</v>
      </c>
      <c r="AN66" s="261">
        <v>40</v>
      </c>
      <c r="AO66" s="244">
        <v>3</v>
      </c>
      <c r="AP66" s="260">
        <v>108</v>
      </c>
      <c r="AQ66" s="242">
        <f>SUM(AR66:AS66)</f>
        <v>46</v>
      </c>
      <c r="AR66" s="261">
        <v>10</v>
      </c>
      <c r="AS66" s="261">
        <v>36</v>
      </c>
      <c r="AT66" s="242">
        <v>3</v>
      </c>
      <c r="AU66" s="242">
        <f>AV66*1.6</f>
        <v>0</v>
      </c>
      <c r="AV66" s="242">
        <f>SUM(AW66:AX66)</f>
        <v>0</v>
      </c>
      <c r="AW66" s="261"/>
      <c r="AX66" s="261"/>
      <c r="AY66" s="244">
        <f>AU66/36</f>
        <v>0</v>
      </c>
      <c r="AZ66" s="260"/>
      <c r="BA66" s="242"/>
      <c r="BB66" s="261"/>
      <c r="BC66" s="261"/>
      <c r="BD66" s="242"/>
      <c r="BE66" s="242"/>
      <c r="BF66" s="242"/>
      <c r="BG66" s="261"/>
      <c r="BH66" s="261"/>
      <c r="BI66" s="244"/>
      <c r="BJ66" s="260"/>
      <c r="BK66" s="242"/>
      <c r="BL66" s="261"/>
      <c r="BM66" s="261"/>
      <c r="BN66" s="242"/>
      <c r="BO66" s="242"/>
      <c r="BP66" s="242"/>
      <c r="BQ66" s="261"/>
      <c r="BR66" s="261"/>
      <c r="BS66" s="244"/>
      <c r="BT66" s="247">
        <f t="shared" si="8"/>
        <v>6</v>
      </c>
      <c r="BU66" s="248" t="s">
        <v>318</v>
      </c>
    </row>
    <row r="67" spans="2:77" ht="37.5" outlineLevel="1">
      <c r="B67" s="479" t="s">
        <v>257</v>
      </c>
      <c r="C67" s="236" t="s">
        <v>79</v>
      </c>
      <c r="D67" s="237"/>
      <c r="E67" s="244" t="s">
        <v>231</v>
      </c>
      <c r="F67" s="237">
        <f t="shared" si="9"/>
        <v>136</v>
      </c>
      <c r="G67" s="243">
        <f t="shared" si="10"/>
        <v>50</v>
      </c>
      <c r="H67" s="237">
        <f t="shared" si="11"/>
        <v>10</v>
      </c>
      <c r="I67" s="242"/>
      <c r="J67" s="242">
        <f t="shared" si="12"/>
        <v>40</v>
      </c>
      <c r="K67" s="244"/>
      <c r="L67" s="237"/>
      <c r="M67" s="242"/>
      <c r="N67" s="261"/>
      <c r="O67" s="261"/>
      <c r="P67" s="242"/>
      <c r="Q67" s="242"/>
      <c r="R67" s="242"/>
      <c r="S67" s="261"/>
      <c r="T67" s="261"/>
      <c r="U67" s="244"/>
      <c r="V67" s="260"/>
      <c r="W67" s="242"/>
      <c r="X67" s="261"/>
      <c r="Y67" s="261"/>
      <c r="Z67" s="242"/>
      <c r="AA67" s="242"/>
      <c r="AB67" s="242"/>
      <c r="AC67" s="261"/>
      <c r="AD67" s="261"/>
      <c r="AE67" s="244"/>
      <c r="AF67" s="260"/>
      <c r="AG67" s="242"/>
      <c r="AH67" s="261"/>
      <c r="AI67" s="261"/>
      <c r="AJ67" s="242"/>
      <c r="AK67" s="242"/>
      <c r="AL67" s="242"/>
      <c r="AM67" s="261"/>
      <c r="AN67" s="261"/>
      <c r="AO67" s="244"/>
      <c r="AP67" s="260"/>
      <c r="AQ67" s="242"/>
      <c r="AR67" s="261"/>
      <c r="AS67" s="261"/>
      <c r="AT67" s="242"/>
      <c r="AU67" s="242"/>
      <c r="AV67" s="242"/>
      <c r="AW67" s="261"/>
      <c r="AX67" s="261"/>
      <c r="AY67" s="244"/>
      <c r="AZ67" s="260"/>
      <c r="BA67" s="242"/>
      <c r="BB67" s="261"/>
      <c r="BC67" s="261"/>
      <c r="BD67" s="242"/>
      <c r="BE67" s="242">
        <v>136</v>
      </c>
      <c r="BF67" s="242">
        <f>SUM(BG67:BH67)</f>
        <v>50</v>
      </c>
      <c r="BG67" s="261">
        <v>10</v>
      </c>
      <c r="BH67" s="261">
        <v>40</v>
      </c>
      <c r="BI67" s="244">
        <v>3</v>
      </c>
      <c r="BJ67" s="260"/>
      <c r="BK67" s="242"/>
      <c r="BL67" s="261"/>
      <c r="BM67" s="261"/>
      <c r="BN67" s="242"/>
      <c r="BO67" s="242"/>
      <c r="BP67" s="242"/>
      <c r="BQ67" s="261"/>
      <c r="BR67" s="261"/>
      <c r="BS67" s="244"/>
      <c r="BT67" s="247">
        <f t="shared" si="8"/>
        <v>3</v>
      </c>
      <c r="BU67" s="248" t="s">
        <v>319</v>
      </c>
      <c r="BX67" s="48">
        <f>BM67/7</f>
        <v>0</v>
      </c>
      <c r="BY67" s="48">
        <f>BR67/7</f>
        <v>0</v>
      </c>
    </row>
    <row r="68" spans="2:77" ht="43.5" customHeight="1" outlineLevel="1">
      <c r="B68" s="479" t="s">
        <v>258</v>
      </c>
      <c r="C68" s="236" t="s">
        <v>78</v>
      </c>
      <c r="D68" s="237">
        <v>8</v>
      </c>
      <c r="E68" s="244">
        <v>7</v>
      </c>
      <c r="F68" s="237">
        <f t="shared" si="9"/>
        <v>216</v>
      </c>
      <c r="G68" s="243">
        <f t="shared" si="10"/>
        <v>109</v>
      </c>
      <c r="H68" s="237">
        <f t="shared" si="11"/>
        <v>32</v>
      </c>
      <c r="I68" s="242"/>
      <c r="J68" s="242">
        <f t="shared" si="12"/>
        <v>77</v>
      </c>
      <c r="K68" s="244"/>
      <c r="L68" s="237"/>
      <c r="M68" s="242"/>
      <c r="N68" s="261"/>
      <c r="O68" s="261"/>
      <c r="P68" s="242"/>
      <c r="Q68" s="242"/>
      <c r="R68" s="242"/>
      <c r="S68" s="261"/>
      <c r="T68" s="261"/>
      <c r="U68" s="244"/>
      <c r="V68" s="260"/>
      <c r="W68" s="242"/>
      <c r="X68" s="261"/>
      <c r="Y68" s="261"/>
      <c r="Z68" s="242"/>
      <c r="AA68" s="242"/>
      <c r="AB68" s="242"/>
      <c r="AC68" s="261"/>
      <c r="AD68" s="261"/>
      <c r="AE68" s="244"/>
      <c r="AF68" s="260"/>
      <c r="AG68" s="242"/>
      <c r="AH68" s="261"/>
      <c r="AI68" s="261"/>
      <c r="AJ68" s="242"/>
      <c r="AK68" s="242"/>
      <c r="AL68" s="242"/>
      <c r="AM68" s="261"/>
      <c r="AN68" s="261"/>
      <c r="AO68" s="244"/>
      <c r="AP68" s="260">
        <v>108</v>
      </c>
      <c r="AQ68" s="242">
        <f>SUM(AR68:AS68)</f>
        <v>56</v>
      </c>
      <c r="AR68" s="261">
        <v>14</v>
      </c>
      <c r="AS68" s="261">
        <v>42</v>
      </c>
      <c r="AT68" s="242">
        <v>3</v>
      </c>
      <c r="AU68" s="242">
        <v>108</v>
      </c>
      <c r="AV68" s="242">
        <f>SUM(AW68:AX68)</f>
        <v>53</v>
      </c>
      <c r="AW68" s="261">
        <v>18</v>
      </c>
      <c r="AX68" s="261">
        <v>35</v>
      </c>
      <c r="AY68" s="244">
        <v>3</v>
      </c>
      <c r="AZ68" s="260"/>
      <c r="BA68" s="242"/>
      <c r="BB68" s="261"/>
      <c r="BC68" s="261"/>
      <c r="BD68" s="242"/>
      <c r="BE68" s="242"/>
      <c r="BF68" s="242"/>
      <c r="BG68" s="261"/>
      <c r="BH68" s="261"/>
      <c r="BI68" s="244"/>
      <c r="BJ68" s="260"/>
      <c r="BK68" s="242"/>
      <c r="BL68" s="261"/>
      <c r="BM68" s="261"/>
      <c r="BN68" s="242"/>
      <c r="BO68" s="242"/>
      <c r="BP68" s="242"/>
      <c r="BQ68" s="261"/>
      <c r="BR68" s="261"/>
      <c r="BS68" s="244"/>
      <c r="BT68" s="247">
        <f t="shared" si="8"/>
        <v>6</v>
      </c>
      <c r="BU68" s="248" t="s">
        <v>320</v>
      </c>
      <c r="BX68" s="48">
        <f>BM68/7</f>
        <v>0</v>
      </c>
      <c r="BY68" s="48">
        <f>BR68/7</f>
        <v>0</v>
      </c>
    </row>
    <row r="69" spans="2:77" ht="47.25" customHeight="1" outlineLevel="1">
      <c r="B69" s="479" t="s">
        <v>259</v>
      </c>
      <c r="C69" s="236" t="s">
        <v>91</v>
      </c>
      <c r="D69" s="237">
        <v>8</v>
      </c>
      <c r="E69" s="244">
        <v>7</v>
      </c>
      <c r="F69" s="237">
        <f t="shared" si="9"/>
        <v>216</v>
      </c>
      <c r="G69" s="243">
        <f t="shared" si="10"/>
        <v>109</v>
      </c>
      <c r="H69" s="237">
        <f t="shared" si="11"/>
        <v>32</v>
      </c>
      <c r="I69" s="242"/>
      <c r="J69" s="242">
        <f t="shared" si="12"/>
        <v>77</v>
      </c>
      <c r="K69" s="244"/>
      <c r="L69" s="237"/>
      <c r="M69" s="242"/>
      <c r="N69" s="261"/>
      <c r="O69" s="261"/>
      <c r="P69" s="242"/>
      <c r="Q69" s="242"/>
      <c r="R69" s="242"/>
      <c r="S69" s="261"/>
      <c r="T69" s="261"/>
      <c r="U69" s="244"/>
      <c r="V69" s="260"/>
      <c r="W69" s="242"/>
      <c r="X69" s="261"/>
      <c r="Y69" s="261"/>
      <c r="Z69" s="242"/>
      <c r="AA69" s="242"/>
      <c r="AB69" s="242"/>
      <c r="AC69" s="261"/>
      <c r="AD69" s="261"/>
      <c r="AE69" s="244"/>
      <c r="AF69" s="260"/>
      <c r="AG69" s="242"/>
      <c r="AH69" s="261"/>
      <c r="AI69" s="261"/>
      <c r="AJ69" s="242"/>
      <c r="AK69" s="242"/>
      <c r="AL69" s="242"/>
      <c r="AM69" s="261"/>
      <c r="AN69" s="261"/>
      <c r="AO69" s="244"/>
      <c r="AP69" s="260">
        <v>108</v>
      </c>
      <c r="AQ69" s="242">
        <f>SUM(AR69:AS69)</f>
        <v>60</v>
      </c>
      <c r="AR69" s="261">
        <v>18</v>
      </c>
      <c r="AS69" s="261">
        <v>42</v>
      </c>
      <c r="AT69" s="242">
        <v>3</v>
      </c>
      <c r="AU69" s="242">
        <v>108</v>
      </c>
      <c r="AV69" s="242">
        <f>SUM(AW69:AX69)</f>
        <v>49</v>
      </c>
      <c r="AW69" s="261">
        <v>14</v>
      </c>
      <c r="AX69" s="261">
        <v>35</v>
      </c>
      <c r="AY69" s="244">
        <v>3</v>
      </c>
      <c r="AZ69" s="260"/>
      <c r="BA69" s="242"/>
      <c r="BB69" s="261"/>
      <c r="BC69" s="261"/>
      <c r="BD69" s="242"/>
      <c r="BE69" s="242"/>
      <c r="BF69" s="242"/>
      <c r="BG69" s="261"/>
      <c r="BH69" s="261"/>
      <c r="BI69" s="244"/>
      <c r="BJ69" s="260"/>
      <c r="BK69" s="242"/>
      <c r="BL69" s="261"/>
      <c r="BM69" s="261"/>
      <c r="BN69" s="242"/>
      <c r="BO69" s="242"/>
      <c r="BP69" s="242"/>
      <c r="BQ69" s="261"/>
      <c r="BR69" s="261"/>
      <c r="BS69" s="244"/>
      <c r="BT69" s="247">
        <f t="shared" si="8"/>
        <v>6</v>
      </c>
      <c r="BU69" s="248" t="s">
        <v>321</v>
      </c>
      <c r="BX69" s="48">
        <f>BM69/7</f>
        <v>0</v>
      </c>
      <c r="BY69" s="48">
        <f>BR69/7</f>
        <v>0</v>
      </c>
    </row>
    <row r="70" spans="2:77" ht="63.75" customHeight="1" outlineLevel="1">
      <c r="B70" s="479" t="s">
        <v>260</v>
      </c>
      <c r="C70" s="236" t="s">
        <v>351</v>
      </c>
      <c r="D70" s="237"/>
      <c r="E70" s="244">
        <v>11</v>
      </c>
      <c r="F70" s="237">
        <f t="shared" si="9"/>
        <v>108</v>
      </c>
      <c r="G70" s="243">
        <f t="shared" si="10"/>
        <v>72</v>
      </c>
      <c r="H70" s="237">
        <f t="shared" si="11"/>
        <v>16</v>
      </c>
      <c r="I70" s="242"/>
      <c r="J70" s="242">
        <f t="shared" si="12"/>
        <v>56</v>
      </c>
      <c r="K70" s="244"/>
      <c r="L70" s="237"/>
      <c r="M70" s="242"/>
      <c r="N70" s="261"/>
      <c r="O70" s="261"/>
      <c r="P70" s="242"/>
      <c r="Q70" s="242"/>
      <c r="R70" s="242"/>
      <c r="S70" s="261"/>
      <c r="T70" s="261"/>
      <c r="U70" s="244"/>
      <c r="V70" s="260"/>
      <c r="W70" s="242"/>
      <c r="X70" s="261"/>
      <c r="Y70" s="261"/>
      <c r="Z70" s="242"/>
      <c r="AA70" s="242"/>
      <c r="AB70" s="242"/>
      <c r="AC70" s="261"/>
      <c r="AD70" s="261"/>
      <c r="AE70" s="244"/>
      <c r="AF70" s="260"/>
      <c r="AG70" s="242"/>
      <c r="AH70" s="261"/>
      <c r="AI70" s="261"/>
      <c r="AJ70" s="242"/>
      <c r="AK70" s="260"/>
      <c r="AL70" s="242"/>
      <c r="AM70" s="261"/>
      <c r="AN70" s="261"/>
      <c r="AO70" s="244"/>
      <c r="AP70" s="260"/>
      <c r="AQ70" s="242"/>
      <c r="AR70" s="261"/>
      <c r="AS70" s="261"/>
      <c r="AT70" s="242"/>
      <c r="AU70" s="242"/>
      <c r="AV70" s="242"/>
      <c r="AW70" s="261"/>
      <c r="AX70" s="261"/>
      <c r="AY70" s="244"/>
      <c r="AZ70" s="260"/>
      <c r="BA70" s="242">
        <f>SUM(BB70:BC70)</f>
        <v>0</v>
      </c>
      <c r="BB70" s="261"/>
      <c r="BC70" s="261"/>
      <c r="BD70" s="242"/>
      <c r="BE70" s="242"/>
      <c r="BF70" s="242"/>
      <c r="BG70" s="261"/>
      <c r="BH70" s="261"/>
      <c r="BI70" s="244"/>
      <c r="BJ70" s="260">
        <v>108</v>
      </c>
      <c r="BK70" s="242">
        <f>SUM(BL70:BM70)</f>
        <v>72</v>
      </c>
      <c r="BL70" s="261">
        <v>16</v>
      </c>
      <c r="BM70" s="261">
        <v>56</v>
      </c>
      <c r="BN70" s="242">
        <v>3</v>
      </c>
      <c r="BO70" s="242"/>
      <c r="BP70" s="242"/>
      <c r="BQ70" s="261"/>
      <c r="BR70" s="261"/>
      <c r="BS70" s="244"/>
      <c r="BT70" s="247">
        <f t="shared" si="8"/>
        <v>3</v>
      </c>
      <c r="BU70" s="248" t="s">
        <v>322</v>
      </c>
      <c r="BY70" s="48">
        <f>BR70/7</f>
        <v>0</v>
      </c>
    </row>
    <row r="71" spans="2:77" ht="19.5" outlineLevel="1">
      <c r="B71" s="479" t="s">
        <v>261</v>
      </c>
      <c r="C71" s="236" t="s">
        <v>75</v>
      </c>
      <c r="D71" s="237"/>
      <c r="E71" s="244">
        <v>12</v>
      </c>
      <c r="F71" s="237">
        <f t="shared" si="9"/>
        <v>90</v>
      </c>
      <c r="G71" s="243">
        <f t="shared" si="10"/>
        <v>45</v>
      </c>
      <c r="H71" s="237">
        <f t="shared" si="11"/>
        <v>10</v>
      </c>
      <c r="I71" s="242"/>
      <c r="J71" s="242">
        <f t="shared" si="12"/>
        <v>35</v>
      </c>
      <c r="K71" s="244"/>
      <c r="L71" s="237"/>
      <c r="M71" s="242"/>
      <c r="N71" s="261"/>
      <c r="O71" s="261"/>
      <c r="P71" s="242"/>
      <c r="Q71" s="242"/>
      <c r="R71" s="242"/>
      <c r="S71" s="261"/>
      <c r="T71" s="261"/>
      <c r="U71" s="244"/>
      <c r="V71" s="260"/>
      <c r="W71" s="242"/>
      <c r="X71" s="261"/>
      <c r="Y71" s="261"/>
      <c r="Z71" s="242"/>
      <c r="AA71" s="242"/>
      <c r="AB71" s="242"/>
      <c r="AC71" s="261"/>
      <c r="AD71" s="261"/>
      <c r="AE71" s="244"/>
      <c r="AF71" s="260"/>
      <c r="AG71" s="242"/>
      <c r="AH71" s="261"/>
      <c r="AI71" s="261"/>
      <c r="AJ71" s="242"/>
      <c r="AK71" s="260"/>
      <c r="AL71" s="242"/>
      <c r="AM71" s="261"/>
      <c r="AN71" s="261"/>
      <c r="AO71" s="244"/>
      <c r="AP71" s="260"/>
      <c r="AQ71" s="242"/>
      <c r="AR71" s="261"/>
      <c r="AS71" s="261"/>
      <c r="AT71" s="242"/>
      <c r="AU71" s="242"/>
      <c r="AV71" s="242"/>
      <c r="AW71" s="261"/>
      <c r="AX71" s="261"/>
      <c r="AY71" s="244"/>
      <c r="AZ71" s="242"/>
      <c r="BA71" s="242">
        <f>SUM(BB71:BC71)</f>
        <v>0</v>
      </c>
      <c r="BB71" s="261"/>
      <c r="BC71" s="261"/>
      <c r="BD71" s="242"/>
      <c r="BE71" s="242"/>
      <c r="BF71" s="242">
        <f>SUM(BG71:BH71)</f>
        <v>0</v>
      </c>
      <c r="BG71" s="261"/>
      <c r="BH71" s="261"/>
      <c r="BI71" s="244"/>
      <c r="BJ71" s="242"/>
      <c r="BK71" s="242">
        <f>SUM(BL71:BM71)</f>
        <v>0</v>
      </c>
      <c r="BL71" s="261"/>
      <c r="BM71" s="261"/>
      <c r="BN71" s="242"/>
      <c r="BO71" s="260">
        <v>90</v>
      </c>
      <c r="BP71" s="242">
        <f>SUM(BQ71:BR71)</f>
        <v>45</v>
      </c>
      <c r="BQ71" s="261">
        <v>10</v>
      </c>
      <c r="BR71" s="261">
        <v>35</v>
      </c>
      <c r="BS71" s="244">
        <v>3</v>
      </c>
      <c r="BT71" s="247">
        <f t="shared" si="8"/>
        <v>3</v>
      </c>
      <c r="BU71" s="248" t="s">
        <v>323</v>
      </c>
      <c r="BX71" s="48">
        <f>BM71/7</f>
        <v>0</v>
      </c>
      <c r="BY71" s="48">
        <f>BR71/7</f>
        <v>5</v>
      </c>
    </row>
    <row r="72" spans="2:74" ht="39" outlineLevel="1">
      <c r="B72" s="480" t="s">
        <v>262</v>
      </c>
      <c r="C72" s="303" t="s">
        <v>356</v>
      </c>
      <c r="D72" s="289"/>
      <c r="E72" s="341">
        <v>11</v>
      </c>
      <c r="F72" s="289"/>
      <c r="G72" s="324"/>
      <c r="H72" s="289"/>
      <c r="I72" s="310"/>
      <c r="J72" s="310"/>
      <c r="K72" s="313"/>
      <c r="L72" s="289"/>
      <c r="M72" s="310"/>
      <c r="N72" s="312"/>
      <c r="O72" s="312"/>
      <c r="P72" s="310"/>
      <c r="Q72" s="310"/>
      <c r="R72" s="310"/>
      <c r="S72" s="312"/>
      <c r="T72" s="312"/>
      <c r="U72" s="313"/>
      <c r="V72" s="311"/>
      <c r="W72" s="310"/>
      <c r="X72" s="312"/>
      <c r="Y72" s="312"/>
      <c r="Z72" s="310"/>
      <c r="AA72" s="311"/>
      <c r="AB72" s="310"/>
      <c r="AC72" s="312"/>
      <c r="AD72" s="312"/>
      <c r="AE72" s="313"/>
      <c r="AF72" s="311"/>
      <c r="AG72" s="310"/>
      <c r="AH72" s="312"/>
      <c r="AI72" s="312"/>
      <c r="AJ72" s="310"/>
      <c r="AK72" s="310"/>
      <c r="AL72" s="310"/>
      <c r="AM72" s="312"/>
      <c r="AN72" s="312"/>
      <c r="AO72" s="313"/>
      <c r="AP72" s="311"/>
      <c r="AQ72" s="310"/>
      <c r="AR72" s="312"/>
      <c r="AS72" s="312"/>
      <c r="AT72" s="310"/>
      <c r="AU72" s="310"/>
      <c r="AV72" s="310"/>
      <c r="AW72" s="312"/>
      <c r="AX72" s="312"/>
      <c r="AY72" s="313"/>
      <c r="AZ72" s="311"/>
      <c r="BA72" s="310"/>
      <c r="BB72" s="312"/>
      <c r="BC72" s="312"/>
      <c r="BD72" s="310"/>
      <c r="BE72" s="310"/>
      <c r="BF72" s="310"/>
      <c r="BG72" s="312"/>
      <c r="BH72" s="312"/>
      <c r="BI72" s="313"/>
      <c r="BJ72" s="311"/>
      <c r="BK72" s="310"/>
      <c r="BL72" s="312"/>
      <c r="BM72" s="312"/>
      <c r="BN72" s="225">
        <v>3</v>
      </c>
      <c r="BO72" s="310"/>
      <c r="BP72" s="310"/>
      <c r="BQ72" s="312"/>
      <c r="BR72" s="312"/>
      <c r="BS72" s="313"/>
      <c r="BT72" s="235">
        <f t="shared" si="8"/>
        <v>3</v>
      </c>
      <c r="BU72" s="314"/>
      <c r="BV72" s="50">
        <f>SUM(BT74:BT77)</f>
        <v>9</v>
      </c>
    </row>
    <row r="73" spans="2:77" ht="45.75" customHeight="1" outlineLevel="1">
      <c r="B73" s="479" t="s">
        <v>263</v>
      </c>
      <c r="C73" s="342" t="s">
        <v>339</v>
      </c>
      <c r="D73" s="237"/>
      <c r="E73" s="244">
        <v>7</v>
      </c>
      <c r="F73" s="242">
        <f>SUM(L73,Q73,V73,AA73,AF73,AK73,AP73,AU73,AZ73,BE73,BJ73,BO73)</f>
        <v>108</v>
      </c>
      <c r="G73" s="243">
        <f>SUM(H73:K73)</f>
        <v>36</v>
      </c>
      <c r="H73" s="237">
        <f>SUM(N73,S73,X73,AC73,AH73,AM73,AR73,AW73,BB73,BG73,BL73,BQ73)</f>
        <v>18</v>
      </c>
      <c r="I73" s="242"/>
      <c r="J73" s="242">
        <f>SUM(O73,T73,Y73,AD73,AI73,AN73,AS73,AX73,BC73,BH73,BM73,BR73)</f>
        <v>18</v>
      </c>
      <c r="K73" s="244"/>
      <c r="L73" s="242"/>
      <c r="M73" s="242"/>
      <c r="N73" s="261"/>
      <c r="O73" s="261"/>
      <c r="P73" s="242"/>
      <c r="Q73" s="242"/>
      <c r="R73" s="242"/>
      <c r="S73" s="261"/>
      <c r="T73" s="261"/>
      <c r="U73" s="244"/>
      <c r="V73" s="260">
        <f>W73*1.4</f>
        <v>0</v>
      </c>
      <c r="W73" s="242">
        <f>SUM(X73:Y73)</f>
        <v>0</v>
      </c>
      <c r="X73" s="261"/>
      <c r="Y73" s="261"/>
      <c r="Z73" s="242">
        <f>V73/36</f>
        <v>0</v>
      </c>
      <c r="AA73" s="242">
        <f>AB73*1.4</f>
        <v>0</v>
      </c>
      <c r="AB73" s="242">
        <f>SUM(AC73:AD73)</f>
        <v>0</v>
      </c>
      <c r="AC73" s="261"/>
      <c r="AD73" s="261"/>
      <c r="AE73" s="244">
        <f>AA73/36</f>
        <v>0</v>
      </c>
      <c r="AF73" s="260"/>
      <c r="AG73" s="242"/>
      <c r="AH73" s="261"/>
      <c r="AI73" s="261"/>
      <c r="AJ73" s="242"/>
      <c r="AK73" s="242"/>
      <c r="AL73" s="242"/>
      <c r="AM73" s="261"/>
      <c r="AN73" s="261"/>
      <c r="AO73" s="244"/>
      <c r="AP73" s="260">
        <v>108</v>
      </c>
      <c r="AQ73" s="242">
        <f>SUM(AR73:AS73)</f>
        <v>36</v>
      </c>
      <c r="AR73" s="261">
        <v>18</v>
      </c>
      <c r="AS73" s="261">
        <v>18</v>
      </c>
      <c r="AT73" s="242">
        <v>3</v>
      </c>
      <c r="AU73" s="242"/>
      <c r="AV73" s="242"/>
      <c r="AW73" s="261"/>
      <c r="AX73" s="261"/>
      <c r="AY73" s="244"/>
      <c r="AZ73" s="260"/>
      <c r="BA73" s="242"/>
      <c r="BB73" s="261"/>
      <c r="BC73" s="261"/>
      <c r="BD73" s="242"/>
      <c r="BE73" s="242"/>
      <c r="BF73" s="242"/>
      <c r="BG73" s="261"/>
      <c r="BH73" s="261"/>
      <c r="BI73" s="244"/>
      <c r="BJ73" s="260"/>
      <c r="BK73" s="242">
        <f>SUM(BL73:BM73)</f>
        <v>0</v>
      </c>
      <c r="BL73" s="261"/>
      <c r="BM73" s="261"/>
      <c r="BN73" s="242"/>
      <c r="BO73" s="242"/>
      <c r="BP73" s="242"/>
      <c r="BQ73" s="261"/>
      <c r="BR73" s="261"/>
      <c r="BS73" s="244"/>
      <c r="BT73" s="247">
        <f>SUM(P73,U73,Z73,AE73,AJ73,AO73,AT73,AY73,BD73,BI73,BN73,BS73)</f>
        <v>3</v>
      </c>
      <c r="BU73" s="248" t="s">
        <v>488</v>
      </c>
      <c r="BX73" s="48">
        <f>BM74/7</f>
        <v>0</v>
      </c>
      <c r="BY73" s="48">
        <f>BR74/7</f>
        <v>0</v>
      </c>
    </row>
    <row r="74" spans="2:73" ht="19.5" outlineLevel="1">
      <c r="B74" s="479" t="s">
        <v>264</v>
      </c>
      <c r="C74" s="236" t="s">
        <v>81</v>
      </c>
      <c r="D74" s="237">
        <v>9</v>
      </c>
      <c r="E74" s="244">
        <v>8</v>
      </c>
      <c r="F74" s="237">
        <f>SUM(L74,Q74,V74,AA74,AF74,AK74,AP74,AU74,AZ74,BE74,BJ74,BO74)</f>
        <v>216</v>
      </c>
      <c r="G74" s="243">
        <f>SUM(H74:K74)</f>
        <v>106</v>
      </c>
      <c r="H74" s="237">
        <f>SUM(N74,S74,X74,AC74,AH74,AM74,AR74,AW74,BB74,BG74,BL74,BQ74)</f>
        <v>20</v>
      </c>
      <c r="I74" s="242"/>
      <c r="J74" s="242">
        <f>SUM(O74,T74,Y74,AD74,AI74,AN74,AS74,AX74,BC74,BH74,BM74,BR74)</f>
        <v>86</v>
      </c>
      <c r="K74" s="244"/>
      <c r="L74" s="237"/>
      <c r="M74" s="242"/>
      <c r="N74" s="261"/>
      <c r="O74" s="261"/>
      <c r="P74" s="242"/>
      <c r="Q74" s="242"/>
      <c r="R74" s="242"/>
      <c r="S74" s="261"/>
      <c r="T74" s="261"/>
      <c r="U74" s="244"/>
      <c r="V74" s="260"/>
      <c r="W74" s="242"/>
      <c r="X74" s="261"/>
      <c r="Y74" s="261"/>
      <c r="Z74" s="242"/>
      <c r="AA74" s="242"/>
      <c r="AB74" s="242"/>
      <c r="AC74" s="261"/>
      <c r="AD74" s="261"/>
      <c r="AE74" s="244"/>
      <c r="AF74" s="260"/>
      <c r="AG74" s="242"/>
      <c r="AH74" s="261"/>
      <c r="AI74" s="261"/>
      <c r="AJ74" s="242"/>
      <c r="AK74" s="242"/>
      <c r="AL74" s="242"/>
      <c r="AM74" s="261"/>
      <c r="AN74" s="261"/>
      <c r="AO74" s="244"/>
      <c r="AP74" s="260"/>
      <c r="AQ74" s="242"/>
      <c r="AR74" s="261"/>
      <c r="AS74" s="261"/>
      <c r="AT74" s="242"/>
      <c r="AU74" s="242">
        <v>108</v>
      </c>
      <c r="AV74" s="242">
        <f>SUM(AW74:AX74)</f>
        <v>60</v>
      </c>
      <c r="AW74" s="261">
        <v>10</v>
      </c>
      <c r="AX74" s="261">
        <v>50</v>
      </c>
      <c r="AY74" s="244">
        <v>3</v>
      </c>
      <c r="AZ74" s="260">
        <v>108</v>
      </c>
      <c r="BA74" s="242">
        <f>SUM(BB74:BC74)</f>
        <v>46</v>
      </c>
      <c r="BB74" s="261">
        <v>10</v>
      </c>
      <c r="BC74" s="261">
        <v>36</v>
      </c>
      <c r="BD74" s="242">
        <v>3</v>
      </c>
      <c r="BE74" s="242"/>
      <c r="BF74" s="242"/>
      <c r="BG74" s="261"/>
      <c r="BH74" s="261"/>
      <c r="BI74" s="244"/>
      <c r="BJ74" s="260"/>
      <c r="BK74" s="242"/>
      <c r="BL74" s="261"/>
      <c r="BM74" s="261"/>
      <c r="BN74" s="242"/>
      <c r="BO74" s="242"/>
      <c r="BP74" s="242"/>
      <c r="BQ74" s="261"/>
      <c r="BR74" s="261"/>
      <c r="BS74" s="244"/>
      <c r="BT74" s="247">
        <f>SUM(P74,U74,Z74,AE74,AJ74,AO74,AT74,AY74,BD74,BI74,BN74,BS74)</f>
        <v>6</v>
      </c>
      <c r="BU74" s="248" t="s">
        <v>324</v>
      </c>
    </row>
    <row r="75" spans="2:77" ht="66.75" customHeight="1" outlineLevel="1">
      <c r="B75" s="479" t="s">
        <v>265</v>
      </c>
      <c r="C75" s="342" t="s">
        <v>174</v>
      </c>
      <c r="D75" s="237"/>
      <c r="E75" s="244"/>
      <c r="F75" s="242">
        <f>SUM(L75,Q75,V75,AA75,AF75,AK75,AP75,AU75,AZ75,BE75,BJ75,BO75)</f>
        <v>51</v>
      </c>
      <c r="G75" s="243">
        <f>SUM(H75:K75)</f>
        <v>35</v>
      </c>
      <c r="H75" s="264">
        <f>SUM(N75,S75,X75,AC75,AH75,AM75,AR75,AW75,BB75,BG75,BL75,BQ75)</f>
        <v>0</v>
      </c>
      <c r="I75" s="242"/>
      <c r="J75" s="242">
        <f>SUM(O75,T75,Y75,AD75,AI75,AN75,AS75,AX75,BC75,BH75,BM75,BR75)</f>
        <v>35</v>
      </c>
      <c r="K75" s="244"/>
      <c r="L75" s="242"/>
      <c r="M75" s="242"/>
      <c r="N75" s="261"/>
      <c r="O75" s="261"/>
      <c r="P75" s="242"/>
      <c r="Q75" s="242"/>
      <c r="R75" s="242"/>
      <c r="S75" s="261"/>
      <c r="T75" s="261"/>
      <c r="U75" s="244"/>
      <c r="V75" s="260"/>
      <c r="W75" s="242"/>
      <c r="X75" s="261"/>
      <c r="Y75" s="261"/>
      <c r="Z75" s="242"/>
      <c r="AA75" s="242"/>
      <c r="AB75" s="242"/>
      <c r="AC75" s="261"/>
      <c r="AD75" s="261"/>
      <c r="AE75" s="244"/>
      <c r="AF75" s="260"/>
      <c r="AG75" s="242"/>
      <c r="AH75" s="261"/>
      <c r="AI75" s="261"/>
      <c r="AJ75" s="242"/>
      <c r="AK75" s="242"/>
      <c r="AL75" s="242"/>
      <c r="AM75" s="261"/>
      <c r="AN75" s="261"/>
      <c r="AO75" s="244"/>
      <c r="AP75" s="260"/>
      <c r="AQ75" s="242"/>
      <c r="AR75" s="261"/>
      <c r="AS75" s="261"/>
      <c r="AT75" s="242"/>
      <c r="AU75" s="242"/>
      <c r="AV75" s="242"/>
      <c r="AW75" s="261"/>
      <c r="AX75" s="261"/>
      <c r="AY75" s="244"/>
      <c r="AZ75" s="300"/>
      <c r="BA75" s="301"/>
      <c r="BB75" s="302"/>
      <c r="BC75" s="302"/>
      <c r="BD75" s="246"/>
      <c r="BE75" s="242"/>
      <c r="BF75" s="242">
        <f>SUM(BG75:BH75)</f>
        <v>0</v>
      </c>
      <c r="BG75" s="261"/>
      <c r="BH75" s="261"/>
      <c r="BI75" s="244"/>
      <c r="BJ75" s="242">
        <v>51</v>
      </c>
      <c r="BK75" s="242">
        <f>SUM(BL75:BM75)</f>
        <v>35</v>
      </c>
      <c r="BL75" s="261"/>
      <c r="BM75" s="261">
        <v>35</v>
      </c>
      <c r="BN75" s="242"/>
      <c r="BO75" s="260"/>
      <c r="BP75" s="242"/>
      <c r="BQ75" s="261"/>
      <c r="BR75" s="261"/>
      <c r="BS75" s="244"/>
      <c r="BT75" s="247">
        <f t="shared" si="8"/>
        <v>0</v>
      </c>
      <c r="BU75" s="248" t="s">
        <v>325</v>
      </c>
      <c r="BX75" s="48">
        <f>BM75/7</f>
        <v>5</v>
      </c>
      <c r="BY75" s="48">
        <f>BR75/7</f>
        <v>0</v>
      </c>
    </row>
    <row r="76" spans="2:77" ht="46.5" customHeight="1" outlineLevel="1">
      <c r="B76" s="479" t="s">
        <v>266</v>
      </c>
      <c r="C76" s="236" t="s">
        <v>98</v>
      </c>
      <c r="D76" s="237"/>
      <c r="E76" s="244"/>
      <c r="F76" s="237">
        <f>SUM(L76,Q76,V76,AA76,AF76,AK76,AP76,AU76,AZ76,BE76,BJ76,BO76)</f>
        <v>87</v>
      </c>
      <c r="G76" s="243">
        <f>SUM(H76:K76)</f>
        <v>60</v>
      </c>
      <c r="H76" s="237">
        <f>SUM(N76,S76,X76,AC76,AH76,AM76,AR76,AW76,BB76,BG76,BL76,BQ76)</f>
        <v>4</v>
      </c>
      <c r="I76" s="242"/>
      <c r="J76" s="242">
        <f>SUM(O76,T76,Y76,AD76,AI76,AN76,AS76,AX76,BC76,BH76,BM76,BR76)</f>
        <v>56</v>
      </c>
      <c r="K76" s="244"/>
      <c r="L76" s="237"/>
      <c r="M76" s="242"/>
      <c r="N76" s="261"/>
      <c r="O76" s="261"/>
      <c r="P76" s="242"/>
      <c r="Q76" s="242"/>
      <c r="R76" s="242"/>
      <c r="S76" s="261"/>
      <c r="T76" s="261"/>
      <c r="U76" s="244"/>
      <c r="V76" s="260"/>
      <c r="W76" s="242"/>
      <c r="X76" s="261"/>
      <c r="Y76" s="261"/>
      <c r="Z76" s="242"/>
      <c r="AA76" s="242"/>
      <c r="AB76" s="242"/>
      <c r="AC76" s="261"/>
      <c r="AD76" s="261"/>
      <c r="AE76" s="244"/>
      <c r="AF76" s="260"/>
      <c r="AG76" s="242"/>
      <c r="AH76" s="261"/>
      <c r="AI76" s="261"/>
      <c r="AJ76" s="242"/>
      <c r="AK76" s="260"/>
      <c r="AL76" s="242"/>
      <c r="AM76" s="261"/>
      <c r="AN76" s="261"/>
      <c r="AO76" s="244"/>
      <c r="AP76" s="260"/>
      <c r="AQ76" s="242"/>
      <c r="AR76" s="343"/>
      <c r="AS76" s="261"/>
      <c r="AT76" s="242"/>
      <c r="AU76" s="242"/>
      <c r="AV76" s="242"/>
      <c r="AW76" s="261"/>
      <c r="AX76" s="261"/>
      <c r="AY76" s="244"/>
      <c r="AZ76" s="260"/>
      <c r="BA76" s="242"/>
      <c r="BB76" s="261"/>
      <c r="BC76" s="261"/>
      <c r="BD76" s="242"/>
      <c r="BE76" s="242"/>
      <c r="BF76" s="242"/>
      <c r="BG76" s="261"/>
      <c r="BH76" s="261"/>
      <c r="BI76" s="244"/>
      <c r="BJ76" s="260">
        <v>87</v>
      </c>
      <c r="BK76" s="260">
        <f>SUM(BL76:BM76)</f>
        <v>60</v>
      </c>
      <c r="BL76" s="261">
        <v>4</v>
      </c>
      <c r="BM76" s="261">
        <v>56</v>
      </c>
      <c r="BN76" s="242"/>
      <c r="BO76" s="242"/>
      <c r="BP76" s="242"/>
      <c r="BQ76" s="261"/>
      <c r="BR76" s="261"/>
      <c r="BS76" s="244"/>
      <c r="BT76" s="247">
        <f t="shared" si="8"/>
        <v>0</v>
      </c>
      <c r="BU76" s="248" t="s">
        <v>326</v>
      </c>
      <c r="BY76" s="48">
        <f>BR76/7</f>
        <v>0</v>
      </c>
    </row>
    <row r="77" spans="2:81" ht="86.25" customHeight="1" outlineLevel="1">
      <c r="B77" s="479" t="s">
        <v>267</v>
      </c>
      <c r="C77" s="236" t="s">
        <v>220</v>
      </c>
      <c r="D77" s="237">
        <v>11</v>
      </c>
      <c r="E77" s="344"/>
      <c r="F77" s="237">
        <f>SUM(L77,Q77,V77,AA77,AF77,AK77,AP77,AU77,AZ77,BE77,BJ77,BO77)</f>
        <v>108</v>
      </c>
      <c r="G77" s="265">
        <f>SUM(H77:K77)</f>
        <v>36</v>
      </c>
      <c r="H77" s="264">
        <f>SUM(N77,S77,X77,AC77,AH77,AM77,AR77,AW77,BB77,BG77,BL77,BQ77)</f>
        <v>0</v>
      </c>
      <c r="I77" s="263"/>
      <c r="J77" s="263">
        <f>SUM(O77,T77,Y77,AD77,AI77,AN77,AS77,AX77,BC77,BH77,BM77,BR77)</f>
        <v>36</v>
      </c>
      <c r="K77" s="267"/>
      <c r="L77" s="264"/>
      <c r="M77" s="263"/>
      <c r="N77" s="268"/>
      <c r="O77" s="268"/>
      <c r="P77" s="242"/>
      <c r="Q77" s="263"/>
      <c r="R77" s="263"/>
      <c r="S77" s="268"/>
      <c r="T77" s="268"/>
      <c r="U77" s="244"/>
      <c r="V77" s="269"/>
      <c r="W77" s="263"/>
      <c r="X77" s="268"/>
      <c r="Y77" s="268"/>
      <c r="Z77" s="242"/>
      <c r="AA77" s="263"/>
      <c r="AB77" s="263"/>
      <c r="AC77" s="268"/>
      <c r="AD77" s="268"/>
      <c r="AE77" s="244"/>
      <c r="AF77" s="269"/>
      <c r="AG77" s="263"/>
      <c r="AH77" s="268"/>
      <c r="AI77" s="268"/>
      <c r="AJ77" s="242"/>
      <c r="AK77" s="269"/>
      <c r="AL77" s="263"/>
      <c r="AM77" s="268"/>
      <c r="AN77" s="268"/>
      <c r="AO77" s="244"/>
      <c r="AP77" s="269"/>
      <c r="AQ77" s="263"/>
      <c r="AR77" s="268"/>
      <c r="AS77" s="268"/>
      <c r="AT77" s="242"/>
      <c r="AU77" s="263"/>
      <c r="AV77" s="263"/>
      <c r="AW77" s="268"/>
      <c r="AX77" s="268"/>
      <c r="AY77" s="244"/>
      <c r="AZ77" s="260"/>
      <c r="BA77" s="263"/>
      <c r="BB77" s="268"/>
      <c r="BC77" s="268"/>
      <c r="BD77" s="242"/>
      <c r="BE77" s="242"/>
      <c r="BF77" s="263"/>
      <c r="BG77" s="268"/>
      <c r="BH77" s="268"/>
      <c r="BI77" s="244"/>
      <c r="BJ77" s="260">
        <v>108</v>
      </c>
      <c r="BK77" s="263">
        <f>SUM(BL77:BM77)</f>
        <v>36</v>
      </c>
      <c r="BL77" s="268"/>
      <c r="BM77" s="345">
        <v>36</v>
      </c>
      <c r="BN77" s="242">
        <v>3</v>
      </c>
      <c r="BO77" s="242"/>
      <c r="BP77" s="263"/>
      <c r="BQ77" s="268"/>
      <c r="BR77" s="268"/>
      <c r="BS77" s="244"/>
      <c r="BT77" s="247">
        <f t="shared" si="8"/>
        <v>3</v>
      </c>
      <c r="BU77" s="346" t="s">
        <v>327</v>
      </c>
      <c r="BV77" s="51"/>
      <c r="BW77" s="49"/>
      <c r="BY77" s="48">
        <f>BR77/7</f>
        <v>0</v>
      </c>
      <c r="BZ77" s="47"/>
      <c r="CA77" s="47"/>
      <c r="CB77" s="47"/>
      <c r="CC77" s="47"/>
    </row>
    <row r="78" spans="2:74" ht="46.5" customHeight="1">
      <c r="B78" s="480" t="s">
        <v>268</v>
      </c>
      <c r="C78" s="303" t="s">
        <v>359</v>
      </c>
      <c r="D78" s="289"/>
      <c r="E78" s="313"/>
      <c r="F78" s="289"/>
      <c r="G78" s="324"/>
      <c r="H78" s="289"/>
      <c r="I78" s="310"/>
      <c r="J78" s="310"/>
      <c r="K78" s="313"/>
      <c r="L78" s="289"/>
      <c r="M78" s="310"/>
      <c r="N78" s="312"/>
      <c r="O78" s="312"/>
      <c r="P78" s="310"/>
      <c r="Q78" s="310"/>
      <c r="R78" s="310"/>
      <c r="S78" s="312"/>
      <c r="T78" s="312"/>
      <c r="U78" s="313"/>
      <c r="V78" s="311"/>
      <c r="W78" s="310"/>
      <c r="X78" s="312"/>
      <c r="Y78" s="312"/>
      <c r="Z78" s="310"/>
      <c r="AA78" s="311"/>
      <c r="AB78" s="310"/>
      <c r="AC78" s="312"/>
      <c r="AD78" s="312"/>
      <c r="AE78" s="313"/>
      <c r="AF78" s="311"/>
      <c r="AG78" s="310"/>
      <c r="AH78" s="312"/>
      <c r="AI78" s="312"/>
      <c r="AJ78" s="310"/>
      <c r="AK78" s="310"/>
      <c r="AL78" s="310"/>
      <c r="AM78" s="312"/>
      <c r="AN78" s="312"/>
      <c r="AO78" s="313"/>
      <c r="AP78" s="311"/>
      <c r="AQ78" s="310"/>
      <c r="AR78" s="312"/>
      <c r="AS78" s="312"/>
      <c r="AT78" s="310"/>
      <c r="AU78" s="310"/>
      <c r="AV78" s="310"/>
      <c r="AW78" s="312"/>
      <c r="AX78" s="312"/>
      <c r="AY78" s="313"/>
      <c r="AZ78" s="311"/>
      <c r="BA78" s="310"/>
      <c r="BB78" s="312"/>
      <c r="BC78" s="312"/>
      <c r="BD78" s="310"/>
      <c r="BE78" s="310"/>
      <c r="BF78" s="310"/>
      <c r="BG78" s="312"/>
      <c r="BH78" s="312"/>
      <c r="BI78" s="313"/>
      <c r="BJ78" s="311"/>
      <c r="BK78" s="310"/>
      <c r="BL78" s="312"/>
      <c r="BM78" s="312"/>
      <c r="BN78" s="310"/>
      <c r="BO78" s="310"/>
      <c r="BP78" s="310"/>
      <c r="BQ78" s="312"/>
      <c r="BR78" s="312"/>
      <c r="BS78" s="313"/>
      <c r="BT78" s="259"/>
      <c r="BU78" s="314"/>
      <c r="BV78" s="50">
        <f>SUM(BT79:BT80)</f>
        <v>12</v>
      </c>
    </row>
    <row r="79" spans="2:77" ht="19.5">
      <c r="B79" s="479" t="s">
        <v>269</v>
      </c>
      <c r="C79" s="236" t="s">
        <v>71</v>
      </c>
      <c r="D79" s="237">
        <v>6</v>
      </c>
      <c r="E79" s="244">
        <v>4</v>
      </c>
      <c r="F79" s="237">
        <f aca="true" t="shared" si="13" ref="F79:F84">SUM(L79,Q79,V79,AA79,AF79,AK79,AP79,AU79,AZ79,BE79,BJ79,BO79)</f>
        <v>228</v>
      </c>
      <c r="G79" s="243">
        <f aca="true" t="shared" si="14" ref="G79:G84">SUM(H79:K79)</f>
        <v>126</v>
      </c>
      <c r="H79" s="237">
        <f aca="true" t="shared" si="15" ref="H79:H84">SUM(N79,S79,X79,AC79,AH79,AM79,AR79,AW79,BB79,BG79,BL79,BQ79)</f>
        <v>30</v>
      </c>
      <c r="I79" s="242"/>
      <c r="J79" s="242">
        <f aca="true" t="shared" si="16" ref="J79:J84">SUM(O79,T79,Y79,AD79,AI79,AN79,AS79,AX79,BC79,BH79,BM79,BR79)</f>
        <v>96</v>
      </c>
      <c r="K79" s="244"/>
      <c r="L79" s="237"/>
      <c r="M79" s="242"/>
      <c r="N79" s="261"/>
      <c r="O79" s="261"/>
      <c r="P79" s="242"/>
      <c r="Q79" s="242"/>
      <c r="R79" s="242"/>
      <c r="S79" s="261"/>
      <c r="T79" s="261"/>
      <c r="U79" s="244"/>
      <c r="V79" s="260"/>
      <c r="W79" s="242"/>
      <c r="X79" s="261"/>
      <c r="Y79" s="261"/>
      <c r="Z79" s="242"/>
      <c r="AA79" s="242">
        <v>90</v>
      </c>
      <c r="AB79" s="242">
        <f>SUM(AC79:AD79)</f>
        <v>36</v>
      </c>
      <c r="AC79" s="261">
        <v>14</v>
      </c>
      <c r="AD79" s="261">
        <v>22</v>
      </c>
      <c r="AE79" s="244">
        <v>3</v>
      </c>
      <c r="AF79" s="260">
        <v>69</v>
      </c>
      <c r="AG79" s="242">
        <f>SUM(AH79:AI79)</f>
        <v>46</v>
      </c>
      <c r="AH79" s="261">
        <v>8</v>
      </c>
      <c r="AI79" s="261">
        <v>38</v>
      </c>
      <c r="AJ79" s="242"/>
      <c r="AK79" s="242">
        <v>69</v>
      </c>
      <c r="AL79" s="242">
        <f>SUM(AM79:AN79)</f>
        <v>44</v>
      </c>
      <c r="AM79" s="261">
        <v>8</v>
      </c>
      <c r="AN79" s="261">
        <v>36</v>
      </c>
      <c r="AO79" s="244">
        <v>3</v>
      </c>
      <c r="AP79" s="260"/>
      <c r="AQ79" s="242"/>
      <c r="AR79" s="261"/>
      <c r="AS79" s="261"/>
      <c r="AT79" s="242"/>
      <c r="AU79" s="242"/>
      <c r="AV79" s="242"/>
      <c r="AW79" s="261"/>
      <c r="AX79" s="261"/>
      <c r="AY79" s="244"/>
      <c r="AZ79" s="260"/>
      <c r="BA79" s="242"/>
      <c r="BB79" s="261"/>
      <c r="BC79" s="261"/>
      <c r="BD79" s="242"/>
      <c r="BE79" s="242"/>
      <c r="BF79" s="242"/>
      <c r="BG79" s="261"/>
      <c r="BH79" s="261"/>
      <c r="BI79" s="244"/>
      <c r="BJ79" s="260"/>
      <c r="BK79" s="242"/>
      <c r="BL79" s="261"/>
      <c r="BM79" s="261"/>
      <c r="BN79" s="242"/>
      <c r="BO79" s="242"/>
      <c r="BP79" s="242"/>
      <c r="BQ79" s="261"/>
      <c r="BR79" s="261"/>
      <c r="BS79" s="244"/>
      <c r="BT79" s="247">
        <f t="shared" si="8"/>
        <v>6</v>
      </c>
      <c r="BU79" s="346" t="s">
        <v>328</v>
      </c>
      <c r="BX79" s="48">
        <f>BM79/7</f>
        <v>0</v>
      </c>
      <c r="BY79" s="48">
        <f>BR79/7</f>
        <v>0</v>
      </c>
    </row>
    <row r="80" spans="2:77" ht="63.75" customHeight="1">
      <c r="B80" s="479" t="s">
        <v>270</v>
      </c>
      <c r="C80" s="236" t="s">
        <v>74</v>
      </c>
      <c r="D80" s="237">
        <v>7</v>
      </c>
      <c r="E80" s="244">
        <v>6</v>
      </c>
      <c r="F80" s="237">
        <f t="shared" si="13"/>
        <v>216</v>
      </c>
      <c r="G80" s="243">
        <f t="shared" si="14"/>
        <v>100</v>
      </c>
      <c r="H80" s="237">
        <f t="shared" si="15"/>
        <v>20</v>
      </c>
      <c r="I80" s="242"/>
      <c r="J80" s="242">
        <f t="shared" si="16"/>
        <v>80</v>
      </c>
      <c r="K80" s="244"/>
      <c r="L80" s="237"/>
      <c r="M80" s="242"/>
      <c r="N80" s="261"/>
      <c r="O80" s="261"/>
      <c r="P80" s="242"/>
      <c r="Q80" s="242"/>
      <c r="R80" s="242"/>
      <c r="S80" s="261"/>
      <c r="T80" s="261"/>
      <c r="U80" s="244"/>
      <c r="V80" s="260"/>
      <c r="W80" s="242"/>
      <c r="X80" s="261"/>
      <c r="Y80" s="261"/>
      <c r="Z80" s="242"/>
      <c r="AA80" s="242"/>
      <c r="AB80" s="242">
        <f>SUM(AC80:AD80)</f>
        <v>0</v>
      </c>
      <c r="AC80" s="261"/>
      <c r="AD80" s="261"/>
      <c r="AE80" s="244"/>
      <c r="AF80" s="260"/>
      <c r="AG80" s="242">
        <f>SUM(AH80:AI80)</f>
        <v>0</v>
      </c>
      <c r="AH80" s="261"/>
      <c r="AI80" s="261"/>
      <c r="AJ80" s="242"/>
      <c r="AK80" s="242">
        <v>108</v>
      </c>
      <c r="AL80" s="242">
        <f>SUM(AM80:AN80)</f>
        <v>50</v>
      </c>
      <c r="AM80" s="261">
        <v>10</v>
      </c>
      <c r="AN80" s="261">
        <v>40</v>
      </c>
      <c r="AO80" s="244">
        <v>3</v>
      </c>
      <c r="AP80" s="260">
        <v>108</v>
      </c>
      <c r="AQ80" s="242">
        <f>SUM(AR80:AS80)</f>
        <v>50</v>
      </c>
      <c r="AR80" s="261">
        <v>10</v>
      </c>
      <c r="AS80" s="261">
        <v>40</v>
      </c>
      <c r="AT80" s="242">
        <v>3</v>
      </c>
      <c r="AU80" s="242"/>
      <c r="AV80" s="242"/>
      <c r="AW80" s="261"/>
      <c r="AX80" s="261"/>
      <c r="AY80" s="244"/>
      <c r="AZ80" s="260"/>
      <c r="BA80" s="242"/>
      <c r="BB80" s="261"/>
      <c r="BC80" s="261"/>
      <c r="BD80" s="242"/>
      <c r="BE80" s="242"/>
      <c r="BF80" s="242"/>
      <c r="BG80" s="261"/>
      <c r="BH80" s="261"/>
      <c r="BI80" s="244"/>
      <c r="BJ80" s="260"/>
      <c r="BK80" s="242"/>
      <c r="BL80" s="261"/>
      <c r="BM80" s="261"/>
      <c r="BN80" s="242"/>
      <c r="BO80" s="242"/>
      <c r="BP80" s="242"/>
      <c r="BQ80" s="261"/>
      <c r="BR80" s="261"/>
      <c r="BS80" s="244"/>
      <c r="BT80" s="247">
        <f t="shared" si="8"/>
        <v>6</v>
      </c>
      <c r="BU80" s="346" t="s">
        <v>376</v>
      </c>
      <c r="BX80" s="48">
        <f>BM80/7</f>
        <v>0</v>
      </c>
      <c r="BY80" s="48">
        <f>BR80/7</f>
        <v>0</v>
      </c>
    </row>
    <row r="81" spans="2:77" ht="39">
      <c r="B81" s="480" t="s">
        <v>271</v>
      </c>
      <c r="C81" s="303" t="s">
        <v>358</v>
      </c>
      <c r="D81" s="289"/>
      <c r="E81" s="313"/>
      <c r="F81" s="289"/>
      <c r="G81" s="313"/>
      <c r="H81" s="347"/>
      <c r="I81" s="310"/>
      <c r="J81" s="310"/>
      <c r="K81" s="313"/>
      <c r="L81" s="289"/>
      <c r="M81" s="310"/>
      <c r="N81" s="312"/>
      <c r="O81" s="312"/>
      <c r="P81" s="310"/>
      <c r="Q81" s="310"/>
      <c r="R81" s="310"/>
      <c r="S81" s="312"/>
      <c r="T81" s="312"/>
      <c r="U81" s="313"/>
      <c r="V81" s="311"/>
      <c r="W81" s="310"/>
      <c r="X81" s="312"/>
      <c r="Y81" s="312"/>
      <c r="Z81" s="310"/>
      <c r="AA81" s="311"/>
      <c r="AB81" s="310"/>
      <c r="AC81" s="312"/>
      <c r="AD81" s="312"/>
      <c r="AE81" s="313"/>
      <c r="AF81" s="311"/>
      <c r="AG81" s="310"/>
      <c r="AH81" s="312"/>
      <c r="AI81" s="312"/>
      <c r="AJ81" s="310"/>
      <c r="AK81" s="310"/>
      <c r="AL81" s="310"/>
      <c r="AM81" s="312"/>
      <c r="AN81" s="312"/>
      <c r="AO81" s="313"/>
      <c r="AP81" s="311"/>
      <c r="AQ81" s="310"/>
      <c r="AR81" s="312"/>
      <c r="AS81" s="312"/>
      <c r="AT81" s="310"/>
      <c r="AU81" s="310"/>
      <c r="AV81" s="310"/>
      <c r="AW81" s="312"/>
      <c r="AX81" s="312"/>
      <c r="AY81" s="313"/>
      <c r="AZ81" s="311"/>
      <c r="BA81" s="310"/>
      <c r="BB81" s="312"/>
      <c r="BC81" s="312"/>
      <c r="BD81" s="310"/>
      <c r="BE81" s="310"/>
      <c r="BF81" s="310"/>
      <c r="BG81" s="312"/>
      <c r="BH81" s="312"/>
      <c r="BI81" s="313"/>
      <c r="BJ81" s="311"/>
      <c r="BK81" s="310"/>
      <c r="BL81" s="312"/>
      <c r="BM81" s="312"/>
      <c r="BN81" s="310"/>
      <c r="BO81" s="310"/>
      <c r="BP81" s="310"/>
      <c r="BQ81" s="312"/>
      <c r="BR81" s="312"/>
      <c r="BS81" s="313"/>
      <c r="BT81" s="259"/>
      <c r="BU81" s="314"/>
      <c r="BV81" s="50">
        <f>SUM(BT82:BT84)</f>
        <v>9</v>
      </c>
      <c r="BX81" s="48">
        <f aca="true" t="shared" si="17" ref="BX81:BX105">BM81/7</f>
        <v>0</v>
      </c>
      <c r="BY81" s="48">
        <f aca="true" t="shared" si="18" ref="BY81:BY105">BR81/7</f>
        <v>0</v>
      </c>
    </row>
    <row r="82" spans="2:77" ht="43.5" customHeight="1">
      <c r="B82" s="479" t="s">
        <v>272</v>
      </c>
      <c r="C82" s="236" t="s">
        <v>352</v>
      </c>
      <c r="D82" s="237"/>
      <c r="E82" s="244" t="s">
        <v>231</v>
      </c>
      <c r="F82" s="237">
        <f>SUM(L82,Q82,V82,AA82,AF82,AK82,AP82,AU82,AZ82,BE82,BJ82,BO82)</f>
        <v>137</v>
      </c>
      <c r="G82" s="243">
        <f t="shared" si="14"/>
        <v>81</v>
      </c>
      <c r="H82" s="237">
        <f t="shared" si="15"/>
        <v>16</v>
      </c>
      <c r="I82" s="242"/>
      <c r="J82" s="242">
        <f t="shared" si="16"/>
        <v>65</v>
      </c>
      <c r="K82" s="244"/>
      <c r="L82" s="237"/>
      <c r="M82" s="242"/>
      <c r="N82" s="261"/>
      <c r="O82" s="261"/>
      <c r="P82" s="242"/>
      <c r="Q82" s="242"/>
      <c r="R82" s="242"/>
      <c r="S82" s="261"/>
      <c r="T82" s="261"/>
      <c r="U82" s="244"/>
      <c r="V82" s="260"/>
      <c r="W82" s="242"/>
      <c r="X82" s="261"/>
      <c r="Y82" s="261"/>
      <c r="Z82" s="242"/>
      <c r="AA82" s="242"/>
      <c r="AB82" s="242"/>
      <c r="AC82" s="261"/>
      <c r="AD82" s="261"/>
      <c r="AE82" s="244"/>
      <c r="AF82" s="260"/>
      <c r="AG82" s="242"/>
      <c r="AH82" s="261"/>
      <c r="AI82" s="261"/>
      <c r="AJ82" s="242"/>
      <c r="AK82" s="242">
        <f>AL82*1.4</f>
        <v>0</v>
      </c>
      <c r="AL82" s="242">
        <f>SUM(AM82:AN82)</f>
        <v>0</v>
      </c>
      <c r="AM82" s="261"/>
      <c r="AN82" s="261"/>
      <c r="AO82" s="244"/>
      <c r="AP82" s="300"/>
      <c r="AQ82" s="301"/>
      <c r="AR82" s="301"/>
      <c r="AS82" s="301"/>
      <c r="AT82" s="246"/>
      <c r="AU82" s="242">
        <f>AV82*1.6</f>
        <v>0</v>
      </c>
      <c r="AV82" s="242">
        <f>SUM(AW82:AX82)</f>
        <v>0</v>
      </c>
      <c r="AW82" s="261"/>
      <c r="AX82" s="261"/>
      <c r="AY82" s="244">
        <f>AU82/36</f>
        <v>0</v>
      </c>
      <c r="AZ82" s="260">
        <v>54</v>
      </c>
      <c r="BA82" s="260">
        <f>BB82+BC82</f>
        <v>26</v>
      </c>
      <c r="BB82" s="261">
        <v>6</v>
      </c>
      <c r="BC82" s="261">
        <v>20</v>
      </c>
      <c r="BD82" s="242"/>
      <c r="BE82" s="242">
        <v>83</v>
      </c>
      <c r="BF82" s="242">
        <f>SUM(BG82:BH82)</f>
        <v>55</v>
      </c>
      <c r="BG82" s="261">
        <v>10</v>
      </c>
      <c r="BH82" s="261">
        <v>45</v>
      </c>
      <c r="BI82" s="244">
        <v>3</v>
      </c>
      <c r="BJ82" s="260"/>
      <c r="BK82" s="242"/>
      <c r="BL82" s="261"/>
      <c r="BM82" s="261"/>
      <c r="BN82" s="242"/>
      <c r="BO82" s="242"/>
      <c r="BP82" s="242"/>
      <c r="BQ82" s="261"/>
      <c r="BR82" s="261"/>
      <c r="BS82" s="244"/>
      <c r="BT82" s="247">
        <f t="shared" si="8"/>
        <v>3</v>
      </c>
      <c r="BU82" s="248" t="s">
        <v>377</v>
      </c>
      <c r="BX82" s="48">
        <f>BM82/7</f>
        <v>0</v>
      </c>
      <c r="BY82" s="48">
        <f t="shared" si="18"/>
        <v>0</v>
      </c>
    </row>
    <row r="83" spans="2:77" ht="19.5">
      <c r="B83" s="479" t="s">
        <v>273</v>
      </c>
      <c r="C83" s="236" t="s">
        <v>89</v>
      </c>
      <c r="D83" s="237"/>
      <c r="E83" s="244" t="s">
        <v>231</v>
      </c>
      <c r="F83" s="237">
        <f>SUM(L83,Q83,V83,AA83,AF83,AK83,AP83,AU83,AZ83,BE83,BJ83,BO83)</f>
        <v>136</v>
      </c>
      <c r="G83" s="243">
        <f t="shared" si="14"/>
        <v>55</v>
      </c>
      <c r="H83" s="237">
        <f t="shared" si="15"/>
        <v>10</v>
      </c>
      <c r="I83" s="242"/>
      <c r="J83" s="242">
        <f t="shared" si="16"/>
        <v>45</v>
      </c>
      <c r="K83" s="244"/>
      <c r="L83" s="237"/>
      <c r="M83" s="242"/>
      <c r="N83" s="261"/>
      <c r="O83" s="261"/>
      <c r="P83" s="242"/>
      <c r="Q83" s="242"/>
      <c r="R83" s="242"/>
      <c r="S83" s="261"/>
      <c r="T83" s="261"/>
      <c r="U83" s="244"/>
      <c r="V83" s="260"/>
      <c r="W83" s="242"/>
      <c r="X83" s="261"/>
      <c r="Y83" s="261"/>
      <c r="Z83" s="242"/>
      <c r="AA83" s="242"/>
      <c r="AB83" s="242"/>
      <c r="AC83" s="261"/>
      <c r="AD83" s="261"/>
      <c r="AE83" s="244"/>
      <c r="AF83" s="260"/>
      <c r="AG83" s="242"/>
      <c r="AH83" s="261"/>
      <c r="AI83" s="261"/>
      <c r="AJ83" s="242"/>
      <c r="AK83" s="242"/>
      <c r="AL83" s="242"/>
      <c r="AM83" s="261"/>
      <c r="AN83" s="261"/>
      <c r="AO83" s="244"/>
      <c r="AP83" s="260">
        <f>AQ83*1.5</f>
        <v>0</v>
      </c>
      <c r="AQ83" s="242">
        <f>SUM(AR83:AS83)</f>
        <v>0</v>
      </c>
      <c r="AR83" s="261"/>
      <c r="AS83" s="261"/>
      <c r="AT83" s="242">
        <f>AP83/36</f>
        <v>0</v>
      </c>
      <c r="AU83" s="242">
        <f>AV83*1.6</f>
        <v>0</v>
      </c>
      <c r="AV83" s="242">
        <f>SUM(AW83:AX83)</f>
        <v>0</v>
      </c>
      <c r="AW83" s="261"/>
      <c r="AX83" s="261"/>
      <c r="AY83" s="244">
        <f>AU83/36</f>
        <v>0</v>
      </c>
      <c r="AZ83" s="260"/>
      <c r="BA83" s="242">
        <f>SUM(BB83:BC83)</f>
        <v>0</v>
      </c>
      <c r="BB83" s="261"/>
      <c r="BC83" s="261"/>
      <c r="BD83" s="242"/>
      <c r="BE83" s="260">
        <v>136</v>
      </c>
      <c r="BF83" s="242">
        <f>SUM(BG83:BH83)</f>
        <v>55</v>
      </c>
      <c r="BG83" s="261">
        <v>10</v>
      </c>
      <c r="BH83" s="261">
        <v>45</v>
      </c>
      <c r="BI83" s="244">
        <v>3</v>
      </c>
      <c r="BJ83" s="260"/>
      <c r="BK83" s="242"/>
      <c r="BL83" s="261"/>
      <c r="BM83" s="261"/>
      <c r="BN83" s="242"/>
      <c r="BO83" s="242"/>
      <c r="BP83" s="242"/>
      <c r="BQ83" s="261"/>
      <c r="BR83" s="261"/>
      <c r="BS83" s="244"/>
      <c r="BT83" s="247">
        <f t="shared" si="8"/>
        <v>3</v>
      </c>
      <c r="BU83" s="248" t="s">
        <v>329</v>
      </c>
      <c r="BX83" s="48">
        <f t="shared" si="17"/>
        <v>0</v>
      </c>
      <c r="BY83" s="48">
        <f t="shared" si="18"/>
        <v>0</v>
      </c>
    </row>
    <row r="84" spans="2:77" ht="48" customHeight="1">
      <c r="B84" s="479" t="s">
        <v>335</v>
      </c>
      <c r="C84" s="236" t="s">
        <v>76</v>
      </c>
      <c r="D84" s="237"/>
      <c r="E84" s="244" t="s">
        <v>371</v>
      </c>
      <c r="F84" s="237">
        <f t="shared" si="13"/>
        <v>120</v>
      </c>
      <c r="G84" s="243">
        <f t="shared" si="14"/>
        <v>81</v>
      </c>
      <c r="H84" s="237">
        <f t="shared" si="15"/>
        <v>10</v>
      </c>
      <c r="I84" s="242"/>
      <c r="J84" s="242">
        <f t="shared" si="16"/>
        <v>71</v>
      </c>
      <c r="K84" s="244"/>
      <c r="L84" s="237"/>
      <c r="M84" s="242"/>
      <c r="N84" s="261"/>
      <c r="O84" s="261"/>
      <c r="P84" s="242"/>
      <c r="Q84" s="242"/>
      <c r="R84" s="242"/>
      <c r="S84" s="261"/>
      <c r="T84" s="261"/>
      <c r="U84" s="244"/>
      <c r="V84" s="260"/>
      <c r="W84" s="242"/>
      <c r="X84" s="261"/>
      <c r="Y84" s="261"/>
      <c r="Z84" s="242"/>
      <c r="AA84" s="242"/>
      <c r="AB84" s="242"/>
      <c r="AC84" s="261"/>
      <c r="AD84" s="261"/>
      <c r="AE84" s="244"/>
      <c r="AF84" s="260"/>
      <c r="AG84" s="242"/>
      <c r="AH84" s="261"/>
      <c r="AI84" s="261"/>
      <c r="AJ84" s="242"/>
      <c r="AK84" s="242">
        <f>AL84*1.4</f>
        <v>0</v>
      </c>
      <c r="AL84" s="242">
        <f>SUM(AM84:AN84)</f>
        <v>0</v>
      </c>
      <c r="AM84" s="261"/>
      <c r="AN84" s="261"/>
      <c r="AO84" s="244"/>
      <c r="AP84" s="260">
        <v>66</v>
      </c>
      <c r="AQ84" s="242">
        <f>SUM(AR84:AS84)</f>
        <v>45</v>
      </c>
      <c r="AR84" s="261">
        <v>10</v>
      </c>
      <c r="AS84" s="261">
        <v>35</v>
      </c>
      <c r="AT84" s="242"/>
      <c r="AU84" s="242">
        <v>54</v>
      </c>
      <c r="AV84" s="242">
        <f>SUM(AW84:AX84)</f>
        <v>36</v>
      </c>
      <c r="AW84" s="261">
        <v>0</v>
      </c>
      <c r="AX84" s="261">
        <v>36</v>
      </c>
      <c r="AY84" s="244">
        <v>3</v>
      </c>
      <c r="AZ84" s="260"/>
      <c r="BA84" s="242"/>
      <c r="BB84" s="261"/>
      <c r="BC84" s="261"/>
      <c r="BD84" s="242"/>
      <c r="BE84" s="242"/>
      <c r="BF84" s="242"/>
      <c r="BG84" s="261"/>
      <c r="BH84" s="261"/>
      <c r="BI84" s="244"/>
      <c r="BJ84" s="260"/>
      <c r="BK84" s="242"/>
      <c r="BL84" s="261"/>
      <c r="BM84" s="261"/>
      <c r="BN84" s="242"/>
      <c r="BO84" s="242"/>
      <c r="BP84" s="242"/>
      <c r="BQ84" s="261"/>
      <c r="BR84" s="261"/>
      <c r="BS84" s="244"/>
      <c r="BT84" s="247">
        <f t="shared" si="8"/>
        <v>3</v>
      </c>
      <c r="BU84" s="248" t="s">
        <v>330</v>
      </c>
      <c r="BX84" s="48">
        <f t="shared" si="17"/>
        <v>0</v>
      </c>
      <c r="BY84" s="48">
        <f t="shared" si="18"/>
        <v>0</v>
      </c>
    </row>
    <row r="85" spans="2:77" ht="48" customHeight="1">
      <c r="B85" s="480" t="s">
        <v>274</v>
      </c>
      <c r="C85" s="303" t="s">
        <v>357</v>
      </c>
      <c r="D85" s="289"/>
      <c r="E85" s="313"/>
      <c r="F85" s="289"/>
      <c r="G85" s="324"/>
      <c r="H85" s="289"/>
      <c r="I85" s="310"/>
      <c r="J85" s="310"/>
      <c r="K85" s="313"/>
      <c r="L85" s="289"/>
      <c r="M85" s="310"/>
      <c r="N85" s="312"/>
      <c r="O85" s="312"/>
      <c r="P85" s="310"/>
      <c r="Q85" s="310"/>
      <c r="R85" s="310"/>
      <c r="S85" s="312"/>
      <c r="T85" s="312"/>
      <c r="U85" s="313"/>
      <c r="V85" s="311"/>
      <c r="W85" s="310"/>
      <c r="X85" s="312"/>
      <c r="Y85" s="312"/>
      <c r="Z85" s="310"/>
      <c r="AA85" s="311"/>
      <c r="AB85" s="310"/>
      <c r="AC85" s="312"/>
      <c r="AD85" s="312"/>
      <c r="AE85" s="313"/>
      <c r="AF85" s="311"/>
      <c r="AG85" s="310"/>
      <c r="AH85" s="312"/>
      <c r="AI85" s="312"/>
      <c r="AJ85" s="310"/>
      <c r="AK85" s="310"/>
      <c r="AL85" s="310"/>
      <c r="AM85" s="312"/>
      <c r="AN85" s="312"/>
      <c r="AO85" s="313"/>
      <c r="AP85" s="311"/>
      <c r="AQ85" s="310"/>
      <c r="AR85" s="312"/>
      <c r="AS85" s="312"/>
      <c r="AT85" s="310"/>
      <c r="AU85" s="310"/>
      <c r="AV85" s="310"/>
      <c r="AW85" s="312"/>
      <c r="AX85" s="312"/>
      <c r="AY85" s="313"/>
      <c r="AZ85" s="311"/>
      <c r="BA85" s="310"/>
      <c r="BB85" s="312"/>
      <c r="BC85" s="312"/>
      <c r="BD85" s="310"/>
      <c r="BE85" s="310"/>
      <c r="BF85" s="310"/>
      <c r="BG85" s="312"/>
      <c r="BH85" s="312"/>
      <c r="BI85" s="313"/>
      <c r="BJ85" s="311"/>
      <c r="BK85" s="310"/>
      <c r="BL85" s="312"/>
      <c r="BM85" s="312"/>
      <c r="BN85" s="310"/>
      <c r="BO85" s="310"/>
      <c r="BP85" s="310"/>
      <c r="BQ85" s="312"/>
      <c r="BR85" s="312"/>
      <c r="BS85" s="313"/>
      <c r="BT85" s="259"/>
      <c r="BU85" s="314"/>
      <c r="BV85" s="50">
        <f>SUM(BT86:BT89)</f>
        <v>15</v>
      </c>
      <c r="BX85" s="48">
        <f t="shared" si="17"/>
        <v>0</v>
      </c>
      <c r="BY85" s="48">
        <f t="shared" si="18"/>
        <v>0</v>
      </c>
    </row>
    <row r="86" spans="2:77" ht="48.75" customHeight="1">
      <c r="B86" s="479" t="s">
        <v>275</v>
      </c>
      <c r="C86" s="236" t="s">
        <v>87</v>
      </c>
      <c r="D86" s="237">
        <v>8</v>
      </c>
      <c r="E86" s="244">
        <v>7</v>
      </c>
      <c r="F86" s="237">
        <f>SUM(L86,Q86,V86,AA86,AF86,AK86,AP86,AU86,AZ86,BE86,BJ86,BO86)</f>
        <v>216</v>
      </c>
      <c r="G86" s="243">
        <f>SUM(H86:K86)</f>
        <v>100</v>
      </c>
      <c r="H86" s="237">
        <f>SUM(N86,S86,X86,AC86,AH86,AM86,AR86,AW86,BB86,BG86,BL86,BQ86)</f>
        <v>22</v>
      </c>
      <c r="I86" s="242"/>
      <c r="J86" s="242">
        <f>SUM(O86,T86,Y86,AD86,AI86,AN86,AS86,AX86,BC86,BH86,BM86,BR86)</f>
        <v>78</v>
      </c>
      <c r="K86" s="244"/>
      <c r="L86" s="237"/>
      <c r="M86" s="242"/>
      <c r="N86" s="261"/>
      <c r="O86" s="261"/>
      <c r="P86" s="242"/>
      <c r="Q86" s="242"/>
      <c r="R86" s="242"/>
      <c r="S86" s="261"/>
      <c r="T86" s="261"/>
      <c r="U86" s="244"/>
      <c r="V86" s="260"/>
      <c r="W86" s="242"/>
      <c r="X86" s="261"/>
      <c r="Y86" s="261"/>
      <c r="Z86" s="242"/>
      <c r="AA86" s="242"/>
      <c r="AB86" s="242"/>
      <c r="AC86" s="261"/>
      <c r="AD86" s="261"/>
      <c r="AE86" s="244"/>
      <c r="AF86" s="260"/>
      <c r="AG86" s="242"/>
      <c r="AH86" s="261"/>
      <c r="AI86" s="261"/>
      <c r="AJ86" s="242"/>
      <c r="AK86" s="242"/>
      <c r="AL86" s="242"/>
      <c r="AM86" s="261"/>
      <c r="AN86" s="261"/>
      <c r="AO86" s="244"/>
      <c r="AP86" s="260">
        <v>108</v>
      </c>
      <c r="AQ86" s="242">
        <f>SUM(AR86:AS86)</f>
        <v>52</v>
      </c>
      <c r="AR86" s="261">
        <v>10</v>
      </c>
      <c r="AS86" s="261">
        <v>42</v>
      </c>
      <c r="AT86" s="242">
        <v>3</v>
      </c>
      <c r="AU86" s="242">
        <v>108</v>
      </c>
      <c r="AV86" s="242">
        <f>SUM(AW86:AX86)</f>
        <v>48</v>
      </c>
      <c r="AW86" s="261">
        <v>12</v>
      </c>
      <c r="AX86" s="261">
        <v>36</v>
      </c>
      <c r="AY86" s="244">
        <v>3</v>
      </c>
      <c r="AZ86" s="260"/>
      <c r="BA86" s="242"/>
      <c r="BB86" s="261"/>
      <c r="BC86" s="261"/>
      <c r="BD86" s="242"/>
      <c r="BE86" s="242"/>
      <c r="BF86" s="242"/>
      <c r="BG86" s="261"/>
      <c r="BH86" s="261"/>
      <c r="BI86" s="244"/>
      <c r="BJ86" s="260"/>
      <c r="BK86" s="242"/>
      <c r="BL86" s="261"/>
      <c r="BM86" s="261"/>
      <c r="BN86" s="242"/>
      <c r="BO86" s="242"/>
      <c r="BP86" s="242"/>
      <c r="BQ86" s="261"/>
      <c r="BR86" s="261"/>
      <c r="BS86" s="244"/>
      <c r="BT86" s="247">
        <f t="shared" si="8"/>
        <v>6</v>
      </c>
      <c r="BU86" s="248" t="s">
        <v>331</v>
      </c>
      <c r="BX86" s="48">
        <f t="shared" si="17"/>
        <v>0</v>
      </c>
      <c r="BY86" s="48">
        <f t="shared" si="18"/>
        <v>0</v>
      </c>
    </row>
    <row r="87" spans="2:77" ht="19.5">
      <c r="B87" s="479" t="s">
        <v>276</v>
      </c>
      <c r="C87" s="236" t="s">
        <v>94</v>
      </c>
      <c r="D87" s="237">
        <v>10</v>
      </c>
      <c r="E87" s="244"/>
      <c r="F87" s="237">
        <f>SUM(L87,Q87,V87,AA87,AF87,AK87,AP87,AU87,AZ87,BE87,BJ87,BO87)</f>
        <v>120</v>
      </c>
      <c r="G87" s="243">
        <f>SUM(H87:K87)</f>
        <v>76</v>
      </c>
      <c r="H87" s="237">
        <f>SUM(N87,S87,X87,AC87,AH87,AM87,AR87,AW87,BB87,BG87,BL87,BQ87)</f>
        <v>16</v>
      </c>
      <c r="I87" s="242"/>
      <c r="J87" s="242">
        <f>SUM(O87,T87,Y87,AD87,AI87,AN87,AS87,AX87,BC87,BH87,BM87,BR87)</f>
        <v>60</v>
      </c>
      <c r="K87" s="244"/>
      <c r="L87" s="237"/>
      <c r="M87" s="242"/>
      <c r="N87" s="261"/>
      <c r="O87" s="261"/>
      <c r="P87" s="242"/>
      <c r="Q87" s="242"/>
      <c r="R87" s="242"/>
      <c r="S87" s="261"/>
      <c r="T87" s="261"/>
      <c r="U87" s="244"/>
      <c r="V87" s="260"/>
      <c r="W87" s="242"/>
      <c r="X87" s="261"/>
      <c r="Y87" s="261"/>
      <c r="Z87" s="242"/>
      <c r="AA87" s="242"/>
      <c r="AB87" s="242"/>
      <c r="AC87" s="261"/>
      <c r="AD87" s="261"/>
      <c r="AE87" s="244"/>
      <c r="AF87" s="260"/>
      <c r="AG87" s="242"/>
      <c r="AH87" s="261"/>
      <c r="AI87" s="261"/>
      <c r="AJ87" s="242"/>
      <c r="AK87" s="242"/>
      <c r="AL87" s="242"/>
      <c r="AM87" s="261"/>
      <c r="AN87" s="261"/>
      <c r="AO87" s="244"/>
      <c r="AP87" s="260"/>
      <c r="AQ87" s="242"/>
      <c r="AR87" s="261"/>
      <c r="AS87" s="261"/>
      <c r="AT87" s="242"/>
      <c r="AU87" s="242"/>
      <c r="AV87" s="242"/>
      <c r="AW87" s="261"/>
      <c r="AX87" s="261"/>
      <c r="AY87" s="244"/>
      <c r="AZ87" s="260">
        <v>60</v>
      </c>
      <c r="BA87" s="242">
        <f>SUM(BB87:BC87)</f>
        <v>40</v>
      </c>
      <c r="BB87" s="261">
        <v>10</v>
      </c>
      <c r="BC87" s="261">
        <v>30</v>
      </c>
      <c r="BD87" s="242"/>
      <c r="BE87" s="260">
        <v>60</v>
      </c>
      <c r="BF87" s="242">
        <f>SUM(BG87:BH87)</f>
        <v>36</v>
      </c>
      <c r="BG87" s="261">
        <v>6</v>
      </c>
      <c r="BH87" s="261">
        <v>30</v>
      </c>
      <c r="BI87" s="244">
        <v>3</v>
      </c>
      <c r="BJ87" s="260"/>
      <c r="BK87" s="242"/>
      <c r="BL87" s="261"/>
      <c r="BM87" s="261"/>
      <c r="BN87" s="242"/>
      <c r="BO87" s="242"/>
      <c r="BP87" s="242"/>
      <c r="BQ87" s="261"/>
      <c r="BR87" s="261"/>
      <c r="BS87" s="244"/>
      <c r="BT87" s="247">
        <f t="shared" si="8"/>
        <v>3</v>
      </c>
      <c r="BU87" s="248" t="s">
        <v>332</v>
      </c>
      <c r="BX87" s="48">
        <f t="shared" si="17"/>
        <v>0</v>
      </c>
      <c r="BY87" s="48">
        <f t="shared" si="18"/>
        <v>0</v>
      </c>
    </row>
    <row r="88" spans="2:77" ht="42" customHeight="1">
      <c r="B88" s="479" t="s">
        <v>277</v>
      </c>
      <c r="C88" s="236" t="s">
        <v>95</v>
      </c>
      <c r="D88" s="237">
        <v>10</v>
      </c>
      <c r="E88" s="244"/>
      <c r="F88" s="237">
        <f>SUM(L88,Q88,V88,AA88,AF88,AK88,AP88,AU88,AZ88,BE88,BJ88,BO88)</f>
        <v>136</v>
      </c>
      <c r="G88" s="243">
        <f>SUM(H88:K88)</f>
        <v>70</v>
      </c>
      <c r="H88" s="237">
        <f>SUM(N88,S88,X88,AC88,AH88,AM88,AR88,AW88,BB88,BG88,BL88,BQ88)</f>
        <v>10</v>
      </c>
      <c r="I88" s="242"/>
      <c r="J88" s="242">
        <f>SUM(O88,T88,Y88,AD88,AI88,AN88,AS88,AX88,BC88,BH88,BM88,BR88)</f>
        <v>60</v>
      </c>
      <c r="K88" s="244"/>
      <c r="L88" s="237"/>
      <c r="M88" s="242"/>
      <c r="N88" s="261"/>
      <c r="O88" s="261"/>
      <c r="P88" s="242"/>
      <c r="Q88" s="242"/>
      <c r="R88" s="242"/>
      <c r="S88" s="261"/>
      <c r="T88" s="261"/>
      <c r="U88" s="244"/>
      <c r="V88" s="260"/>
      <c r="W88" s="242"/>
      <c r="X88" s="261"/>
      <c r="Y88" s="261"/>
      <c r="Z88" s="242"/>
      <c r="AA88" s="242"/>
      <c r="AB88" s="242"/>
      <c r="AC88" s="261"/>
      <c r="AD88" s="261"/>
      <c r="AE88" s="244"/>
      <c r="AF88" s="260"/>
      <c r="AG88" s="242"/>
      <c r="AH88" s="261"/>
      <c r="AI88" s="261"/>
      <c r="AJ88" s="242"/>
      <c r="AK88" s="242"/>
      <c r="AL88" s="242"/>
      <c r="AM88" s="261"/>
      <c r="AN88" s="261"/>
      <c r="AO88" s="244"/>
      <c r="AP88" s="260"/>
      <c r="AQ88" s="242"/>
      <c r="AR88" s="261"/>
      <c r="AS88" s="261"/>
      <c r="AT88" s="242"/>
      <c r="AU88" s="242"/>
      <c r="AV88" s="242"/>
      <c r="AW88" s="261"/>
      <c r="AX88" s="261"/>
      <c r="AY88" s="244"/>
      <c r="AZ88" s="260"/>
      <c r="BA88" s="242">
        <f>SUM(BB88:BC88)</f>
        <v>0</v>
      </c>
      <c r="BB88" s="261"/>
      <c r="BC88" s="261"/>
      <c r="BD88" s="242"/>
      <c r="BE88" s="260">
        <v>136</v>
      </c>
      <c r="BF88" s="242">
        <f>SUM(BG88:BH88)</f>
        <v>70</v>
      </c>
      <c r="BG88" s="261">
        <v>10</v>
      </c>
      <c r="BH88" s="261">
        <v>60</v>
      </c>
      <c r="BI88" s="244">
        <v>3</v>
      </c>
      <c r="BJ88" s="260"/>
      <c r="BK88" s="242"/>
      <c r="BL88" s="261"/>
      <c r="BM88" s="261"/>
      <c r="BN88" s="242"/>
      <c r="BO88" s="242"/>
      <c r="BP88" s="242"/>
      <c r="BQ88" s="261"/>
      <c r="BR88" s="261"/>
      <c r="BS88" s="244"/>
      <c r="BT88" s="247">
        <f t="shared" si="8"/>
        <v>3</v>
      </c>
      <c r="BU88" s="248" t="s">
        <v>333</v>
      </c>
      <c r="BX88" s="48">
        <f t="shared" si="17"/>
        <v>0</v>
      </c>
      <c r="BY88" s="48">
        <f t="shared" si="18"/>
        <v>0</v>
      </c>
    </row>
    <row r="89" spans="2:77" ht="19.5">
      <c r="B89" s="479" t="s">
        <v>278</v>
      </c>
      <c r="C89" s="236" t="s">
        <v>96</v>
      </c>
      <c r="D89" s="237"/>
      <c r="E89" s="244">
        <v>9</v>
      </c>
      <c r="F89" s="237">
        <f>SUM(L89,Q89,V89,AA89,AF89,AK89,AP89,AU89,AZ89,BE89,BJ89,BO89)</f>
        <v>108</v>
      </c>
      <c r="G89" s="243">
        <f>SUM(H89:K89)</f>
        <v>43</v>
      </c>
      <c r="H89" s="237">
        <f>SUM(N89,S89,X89,AC89,AH89,AM89,AR89,AW89,BB89,BG89,BL89,BQ89)</f>
        <v>8</v>
      </c>
      <c r="I89" s="242"/>
      <c r="J89" s="242">
        <f>SUM(O89,T89,Y89,AD89,AI89,AN89,AS89,AX89,BC89,BH89,BM89,BR89)</f>
        <v>35</v>
      </c>
      <c r="K89" s="244"/>
      <c r="L89" s="237"/>
      <c r="M89" s="242"/>
      <c r="N89" s="261"/>
      <c r="O89" s="261"/>
      <c r="P89" s="242"/>
      <c r="Q89" s="242"/>
      <c r="R89" s="242"/>
      <c r="S89" s="261"/>
      <c r="T89" s="261"/>
      <c r="U89" s="244"/>
      <c r="V89" s="260"/>
      <c r="W89" s="242"/>
      <c r="X89" s="261"/>
      <c r="Y89" s="261"/>
      <c r="Z89" s="242"/>
      <c r="AA89" s="242"/>
      <c r="AB89" s="242"/>
      <c r="AC89" s="261"/>
      <c r="AD89" s="261"/>
      <c r="AE89" s="244"/>
      <c r="AF89" s="260"/>
      <c r="AG89" s="242"/>
      <c r="AH89" s="261"/>
      <c r="AI89" s="261"/>
      <c r="AJ89" s="242"/>
      <c r="AK89" s="242"/>
      <c r="AL89" s="242"/>
      <c r="AM89" s="261"/>
      <c r="AN89" s="261"/>
      <c r="AO89" s="244"/>
      <c r="AP89" s="260"/>
      <c r="AQ89" s="242"/>
      <c r="AR89" s="261"/>
      <c r="AS89" s="261"/>
      <c r="AT89" s="242"/>
      <c r="AU89" s="242"/>
      <c r="AV89" s="242"/>
      <c r="AW89" s="261"/>
      <c r="AX89" s="261"/>
      <c r="AY89" s="244"/>
      <c r="AZ89" s="260">
        <v>108</v>
      </c>
      <c r="BA89" s="242">
        <f>SUM(BB89:BC89)</f>
        <v>43</v>
      </c>
      <c r="BB89" s="261">
        <v>8</v>
      </c>
      <c r="BC89" s="261">
        <v>35</v>
      </c>
      <c r="BD89" s="242">
        <v>3</v>
      </c>
      <c r="BE89" s="260"/>
      <c r="BF89" s="242">
        <f>SUM(BG89:BH89)</f>
        <v>0</v>
      </c>
      <c r="BG89" s="261"/>
      <c r="BH89" s="261"/>
      <c r="BI89" s="244"/>
      <c r="BJ89" s="260"/>
      <c r="BK89" s="242"/>
      <c r="BL89" s="261"/>
      <c r="BM89" s="261"/>
      <c r="BN89" s="242"/>
      <c r="BO89" s="242"/>
      <c r="BP89" s="242"/>
      <c r="BQ89" s="261"/>
      <c r="BR89" s="261"/>
      <c r="BS89" s="244"/>
      <c r="BT89" s="247">
        <f>SUM(P89,U89,Z89,AE89,AJ89,AO89,AT89,AY89,BD89,BI89,BN89,BS89)</f>
        <v>3</v>
      </c>
      <c r="BU89" s="248" t="s">
        <v>334</v>
      </c>
      <c r="BX89" s="48">
        <f>BM89/7</f>
        <v>0</v>
      </c>
      <c r="BY89" s="48">
        <f>BR89/7</f>
        <v>0</v>
      </c>
    </row>
    <row r="90" spans="2:77" ht="39">
      <c r="B90" s="480" t="s">
        <v>279</v>
      </c>
      <c r="C90" s="303" t="s">
        <v>194</v>
      </c>
      <c r="D90" s="289"/>
      <c r="E90" s="313"/>
      <c r="F90" s="289"/>
      <c r="G90" s="324"/>
      <c r="H90" s="289"/>
      <c r="I90" s="310"/>
      <c r="J90" s="310"/>
      <c r="K90" s="313"/>
      <c r="L90" s="289"/>
      <c r="M90" s="310"/>
      <c r="N90" s="312"/>
      <c r="O90" s="312"/>
      <c r="P90" s="310"/>
      <c r="Q90" s="310"/>
      <c r="R90" s="310"/>
      <c r="S90" s="312"/>
      <c r="T90" s="312"/>
      <c r="U90" s="313"/>
      <c r="V90" s="311"/>
      <c r="W90" s="310"/>
      <c r="X90" s="312"/>
      <c r="Y90" s="312"/>
      <c r="Z90" s="310"/>
      <c r="AA90" s="311"/>
      <c r="AB90" s="310"/>
      <c r="AC90" s="312"/>
      <c r="AD90" s="312"/>
      <c r="AE90" s="313"/>
      <c r="AF90" s="311"/>
      <c r="AG90" s="310"/>
      <c r="AH90" s="312"/>
      <c r="AI90" s="312"/>
      <c r="AJ90" s="310"/>
      <c r="AK90" s="310"/>
      <c r="AL90" s="310"/>
      <c r="AM90" s="312"/>
      <c r="AN90" s="312"/>
      <c r="AO90" s="313"/>
      <c r="AP90" s="311"/>
      <c r="AQ90" s="310"/>
      <c r="AR90" s="312"/>
      <c r="AS90" s="312"/>
      <c r="AT90" s="310"/>
      <c r="AU90" s="310"/>
      <c r="AV90" s="310"/>
      <c r="AW90" s="312"/>
      <c r="AX90" s="312"/>
      <c r="AY90" s="313"/>
      <c r="AZ90" s="311"/>
      <c r="BA90" s="310"/>
      <c r="BB90" s="312"/>
      <c r="BC90" s="312"/>
      <c r="BD90" s="310"/>
      <c r="BE90" s="310"/>
      <c r="BF90" s="310"/>
      <c r="BG90" s="312"/>
      <c r="BH90" s="312"/>
      <c r="BI90" s="313"/>
      <c r="BJ90" s="311"/>
      <c r="BK90" s="310"/>
      <c r="BL90" s="312"/>
      <c r="BM90" s="312"/>
      <c r="BN90" s="310"/>
      <c r="BO90" s="310"/>
      <c r="BP90" s="310"/>
      <c r="BQ90" s="312"/>
      <c r="BR90" s="312"/>
      <c r="BS90" s="313"/>
      <c r="BT90" s="259"/>
      <c r="BU90" s="314"/>
      <c r="BV90" s="50">
        <f>SUM(BT91)</f>
        <v>6</v>
      </c>
      <c r="BX90" s="48">
        <f t="shared" si="17"/>
        <v>0</v>
      </c>
      <c r="BY90" s="48">
        <f t="shared" si="18"/>
        <v>0</v>
      </c>
    </row>
    <row r="91" spans="2:77" ht="43.5" customHeight="1">
      <c r="B91" s="479" t="s">
        <v>280</v>
      </c>
      <c r="C91" s="236" t="s">
        <v>88</v>
      </c>
      <c r="D91" s="237">
        <v>9</v>
      </c>
      <c r="E91" s="244">
        <v>8</v>
      </c>
      <c r="F91" s="237">
        <f>SUM(L91,Q91,V91,AA91,AF91,AK91,AP91,AU91,AZ91,BE91,BJ91,BO91)</f>
        <v>227</v>
      </c>
      <c r="G91" s="243">
        <f>SUM(H91:K91)</f>
        <v>129</v>
      </c>
      <c r="H91" s="237">
        <f>SUM(N91,S91,X91,AC91,AH91,AM91,AR91,AW91,BB91,BG91,BL91,BQ91)</f>
        <v>24</v>
      </c>
      <c r="I91" s="242"/>
      <c r="J91" s="242">
        <f>SUM(O91,T91,Y91,AD91,AI91,AN91,AS91,AX91,BC91,BH91,BM91,BR91)</f>
        <v>105</v>
      </c>
      <c r="K91" s="244"/>
      <c r="L91" s="237"/>
      <c r="M91" s="242"/>
      <c r="N91" s="261"/>
      <c r="O91" s="261"/>
      <c r="P91" s="242"/>
      <c r="Q91" s="242"/>
      <c r="R91" s="242"/>
      <c r="S91" s="261"/>
      <c r="T91" s="261"/>
      <c r="U91" s="244"/>
      <c r="V91" s="260"/>
      <c r="W91" s="242"/>
      <c r="X91" s="261"/>
      <c r="Y91" s="261"/>
      <c r="Z91" s="242"/>
      <c r="AA91" s="242"/>
      <c r="AB91" s="242"/>
      <c r="AC91" s="261"/>
      <c r="AD91" s="261"/>
      <c r="AE91" s="244"/>
      <c r="AF91" s="260"/>
      <c r="AG91" s="242"/>
      <c r="AH91" s="261"/>
      <c r="AI91" s="261"/>
      <c r="AJ91" s="242"/>
      <c r="AK91" s="242"/>
      <c r="AL91" s="242"/>
      <c r="AM91" s="261"/>
      <c r="AN91" s="261"/>
      <c r="AO91" s="244"/>
      <c r="AP91" s="260">
        <v>72</v>
      </c>
      <c r="AQ91" s="242">
        <f>SUM(AR91:AS91)</f>
        <v>48</v>
      </c>
      <c r="AR91" s="261">
        <v>8</v>
      </c>
      <c r="AS91" s="261">
        <v>40</v>
      </c>
      <c r="AT91" s="242"/>
      <c r="AU91" s="242">
        <v>65</v>
      </c>
      <c r="AV91" s="242">
        <f>SUM(AW91:AX91)</f>
        <v>43</v>
      </c>
      <c r="AW91" s="261">
        <v>8</v>
      </c>
      <c r="AX91" s="261">
        <v>35</v>
      </c>
      <c r="AY91" s="244">
        <v>3</v>
      </c>
      <c r="AZ91" s="260">
        <v>90</v>
      </c>
      <c r="BA91" s="242">
        <f>SUM(BB91:BC91)</f>
        <v>38</v>
      </c>
      <c r="BB91" s="261">
        <v>8</v>
      </c>
      <c r="BC91" s="261">
        <v>30</v>
      </c>
      <c r="BD91" s="242">
        <v>3</v>
      </c>
      <c r="BE91" s="242"/>
      <c r="BF91" s="242"/>
      <c r="BG91" s="261"/>
      <c r="BH91" s="261"/>
      <c r="BI91" s="244"/>
      <c r="BJ91" s="260"/>
      <c r="BK91" s="242"/>
      <c r="BL91" s="261"/>
      <c r="BM91" s="261"/>
      <c r="BN91" s="242"/>
      <c r="BO91" s="242"/>
      <c r="BP91" s="242"/>
      <c r="BQ91" s="261"/>
      <c r="BR91" s="261"/>
      <c r="BS91" s="244"/>
      <c r="BT91" s="247">
        <f t="shared" si="8"/>
        <v>6</v>
      </c>
      <c r="BU91" s="248" t="s">
        <v>439</v>
      </c>
      <c r="BX91" s="48">
        <f t="shared" si="17"/>
        <v>0</v>
      </c>
      <c r="BY91" s="48">
        <f t="shared" si="18"/>
        <v>0</v>
      </c>
    </row>
    <row r="92" spans="2:73" ht="64.5" customHeight="1">
      <c r="B92" s="480" t="s">
        <v>281</v>
      </c>
      <c r="C92" s="303" t="s">
        <v>361</v>
      </c>
      <c r="D92" s="289"/>
      <c r="E92" s="313"/>
      <c r="F92" s="289"/>
      <c r="G92" s="324"/>
      <c r="H92" s="289"/>
      <c r="I92" s="310"/>
      <c r="J92" s="310"/>
      <c r="K92" s="313"/>
      <c r="L92" s="289"/>
      <c r="M92" s="310"/>
      <c r="N92" s="312"/>
      <c r="O92" s="312"/>
      <c r="P92" s="310"/>
      <c r="Q92" s="310"/>
      <c r="R92" s="310"/>
      <c r="S92" s="312"/>
      <c r="T92" s="312"/>
      <c r="U92" s="313"/>
      <c r="V92" s="311"/>
      <c r="W92" s="310"/>
      <c r="X92" s="312"/>
      <c r="Y92" s="312"/>
      <c r="Z92" s="310"/>
      <c r="AA92" s="311"/>
      <c r="AB92" s="310"/>
      <c r="AC92" s="312"/>
      <c r="AD92" s="312"/>
      <c r="AE92" s="313"/>
      <c r="AF92" s="311"/>
      <c r="AG92" s="310"/>
      <c r="AH92" s="312"/>
      <c r="AI92" s="312"/>
      <c r="AJ92" s="310"/>
      <c r="AK92" s="310"/>
      <c r="AL92" s="310"/>
      <c r="AM92" s="312"/>
      <c r="AN92" s="312"/>
      <c r="AO92" s="313"/>
      <c r="AP92" s="311"/>
      <c r="AQ92" s="310"/>
      <c r="AR92" s="312"/>
      <c r="AS92" s="312"/>
      <c r="AT92" s="310"/>
      <c r="AU92" s="310"/>
      <c r="AV92" s="310"/>
      <c r="AW92" s="312"/>
      <c r="AX92" s="312"/>
      <c r="AY92" s="313"/>
      <c r="AZ92" s="311"/>
      <c r="BA92" s="310"/>
      <c r="BB92" s="312"/>
      <c r="BC92" s="312"/>
      <c r="BD92" s="310"/>
      <c r="BE92" s="310"/>
      <c r="BF92" s="310"/>
      <c r="BG92" s="312"/>
      <c r="BH92" s="312"/>
      <c r="BI92" s="313"/>
      <c r="BJ92" s="311"/>
      <c r="BK92" s="310"/>
      <c r="BL92" s="312"/>
      <c r="BM92" s="312"/>
      <c r="BN92" s="310"/>
      <c r="BO92" s="310"/>
      <c r="BP92" s="310"/>
      <c r="BQ92" s="312"/>
      <c r="BR92" s="312"/>
      <c r="BS92" s="313"/>
      <c r="BT92" s="259"/>
      <c r="BU92" s="314"/>
    </row>
    <row r="93" spans="2:73" ht="45" customHeight="1">
      <c r="B93" s="479" t="s">
        <v>282</v>
      </c>
      <c r="C93" s="236" t="s">
        <v>219</v>
      </c>
      <c r="D93" s="237"/>
      <c r="E93" s="244">
        <v>8</v>
      </c>
      <c r="F93" s="237">
        <f aca="true" t="shared" si="19" ref="F93:F99">SUM(L93,Q93,V93,AA93,AF93,AK93,AP93,AU93,AZ93,BE93,BJ93,BO93)</f>
        <v>108</v>
      </c>
      <c r="G93" s="243">
        <f aca="true" t="shared" si="20" ref="G93:G99">SUM(H93:K93)</f>
        <v>48</v>
      </c>
      <c r="H93" s="237">
        <f>SUM(N93,S93,X93,AC93,AH93,AM93,AR93,AW93,BB93,BG93,BL93,BQ93)</f>
        <v>6</v>
      </c>
      <c r="I93" s="242"/>
      <c r="J93" s="242">
        <f aca="true" t="shared" si="21" ref="J93:J99">SUM(O93,T93,Y93,AD93,AI93,AN93,AS93,AX93,BC93,BH93,BM93,BR93)</f>
        <v>42</v>
      </c>
      <c r="K93" s="244"/>
      <c r="L93" s="237"/>
      <c r="M93" s="242"/>
      <c r="N93" s="261"/>
      <c r="O93" s="261"/>
      <c r="P93" s="242"/>
      <c r="Q93" s="242"/>
      <c r="R93" s="242"/>
      <c r="S93" s="261"/>
      <c r="T93" s="261"/>
      <c r="U93" s="244"/>
      <c r="V93" s="260"/>
      <c r="W93" s="242"/>
      <c r="X93" s="261"/>
      <c r="Y93" s="261"/>
      <c r="Z93" s="242"/>
      <c r="AA93" s="242"/>
      <c r="AB93" s="242"/>
      <c r="AC93" s="261"/>
      <c r="AD93" s="261"/>
      <c r="AE93" s="244"/>
      <c r="AF93" s="260"/>
      <c r="AG93" s="242"/>
      <c r="AH93" s="261"/>
      <c r="AI93" s="261"/>
      <c r="AJ93" s="242"/>
      <c r="AK93" s="242"/>
      <c r="AL93" s="242"/>
      <c r="AM93" s="261"/>
      <c r="AN93" s="261"/>
      <c r="AO93" s="244"/>
      <c r="AP93" s="260"/>
      <c r="AQ93" s="242">
        <f>SUM(AR93:AS93)</f>
        <v>0</v>
      </c>
      <c r="AR93" s="261"/>
      <c r="AS93" s="261"/>
      <c r="AT93" s="242"/>
      <c r="AU93" s="260">
        <v>108</v>
      </c>
      <c r="AV93" s="242">
        <f>SUM(AW93:AX93)</f>
        <v>48</v>
      </c>
      <c r="AW93" s="261">
        <v>6</v>
      </c>
      <c r="AX93" s="261">
        <v>42</v>
      </c>
      <c r="AY93" s="244">
        <v>3</v>
      </c>
      <c r="AZ93" s="260"/>
      <c r="BA93" s="242"/>
      <c r="BB93" s="261"/>
      <c r="BC93" s="261"/>
      <c r="BD93" s="242"/>
      <c r="BE93" s="242"/>
      <c r="BF93" s="242">
        <f>SUM(BG93:BH93)</f>
        <v>0</v>
      </c>
      <c r="BG93" s="261"/>
      <c r="BH93" s="261"/>
      <c r="BI93" s="244"/>
      <c r="BJ93" s="260"/>
      <c r="BK93" s="242"/>
      <c r="BL93" s="261"/>
      <c r="BM93" s="261"/>
      <c r="BN93" s="242"/>
      <c r="BO93" s="242"/>
      <c r="BP93" s="242"/>
      <c r="BQ93" s="261"/>
      <c r="BR93" s="261"/>
      <c r="BS93" s="244"/>
      <c r="BT93" s="247">
        <f t="shared" si="8"/>
        <v>3</v>
      </c>
      <c r="BU93" s="248" t="s">
        <v>455</v>
      </c>
    </row>
    <row r="94" spans="2:73" ht="66" customHeight="1">
      <c r="B94" s="479" t="s">
        <v>283</v>
      </c>
      <c r="C94" s="236" t="s">
        <v>90</v>
      </c>
      <c r="D94" s="237">
        <v>10</v>
      </c>
      <c r="E94" s="244"/>
      <c r="F94" s="237">
        <f t="shared" si="19"/>
        <v>174</v>
      </c>
      <c r="G94" s="243">
        <f t="shared" si="20"/>
        <v>114</v>
      </c>
      <c r="H94" s="237">
        <f>SUM(N94,S94,X94,AC94,AH94,AM94,AR94,AW94,BB94,BG94,BL94,BQ94)</f>
        <v>14</v>
      </c>
      <c r="I94" s="242"/>
      <c r="J94" s="242">
        <f t="shared" si="21"/>
        <v>100</v>
      </c>
      <c r="K94" s="244"/>
      <c r="L94" s="237"/>
      <c r="M94" s="242"/>
      <c r="N94" s="261"/>
      <c r="O94" s="261"/>
      <c r="P94" s="242"/>
      <c r="Q94" s="242"/>
      <c r="R94" s="242"/>
      <c r="S94" s="261"/>
      <c r="T94" s="261"/>
      <c r="U94" s="244"/>
      <c r="V94" s="260"/>
      <c r="W94" s="242"/>
      <c r="X94" s="261"/>
      <c r="Y94" s="261"/>
      <c r="Z94" s="242"/>
      <c r="AA94" s="242"/>
      <c r="AB94" s="242"/>
      <c r="AC94" s="261"/>
      <c r="AD94" s="261"/>
      <c r="AE94" s="244"/>
      <c r="AF94" s="260"/>
      <c r="AG94" s="242"/>
      <c r="AH94" s="261"/>
      <c r="AI94" s="261"/>
      <c r="AJ94" s="242"/>
      <c r="AK94" s="242"/>
      <c r="AL94" s="242"/>
      <c r="AM94" s="261"/>
      <c r="AN94" s="261"/>
      <c r="AO94" s="244"/>
      <c r="AP94" s="260"/>
      <c r="AQ94" s="242"/>
      <c r="AR94" s="261"/>
      <c r="AS94" s="261"/>
      <c r="AT94" s="242"/>
      <c r="AU94" s="242"/>
      <c r="AV94" s="242"/>
      <c r="AW94" s="261"/>
      <c r="AX94" s="261"/>
      <c r="AY94" s="244"/>
      <c r="AZ94" s="260">
        <v>90</v>
      </c>
      <c r="BA94" s="242">
        <f>SUM(BB94:BC94)</f>
        <v>58</v>
      </c>
      <c r="BB94" s="261">
        <v>8</v>
      </c>
      <c r="BC94" s="261">
        <v>50</v>
      </c>
      <c r="BD94" s="242"/>
      <c r="BE94" s="242">
        <v>84</v>
      </c>
      <c r="BF94" s="242">
        <f>SUM(BG94:BH94)</f>
        <v>56</v>
      </c>
      <c r="BG94" s="261">
        <v>6</v>
      </c>
      <c r="BH94" s="261">
        <v>50</v>
      </c>
      <c r="BI94" s="244">
        <v>4</v>
      </c>
      <c r="BJ94" s="260"/>
      <c r="BK94" s="242"/>
      <c r="BL94" s="261"/>
      <c r="BM94" s="261"/>
      <c r="BN94" s="242"/>
      <c r="BO94" s="242"/>
      <c r="BP94" s="242"/>
      <c r="BQ94" s="261"/>
      <c r="BR94" s="261"/>
      <c r="BS94" s="244"/>
      <c r="BT94" s="247">
        <f t="shared" si="8"/>
        <v>4</v>
      </c>
      <c r="BU94" s="248" t="s">
        <v>489</v>
      </c>
    </row>
    <row r="95" spans="2:73" ht="26.25" customHeight="1">
      <c r="B95" s="479" t="s">
        <v>284</v>
      </c>
      <c r="C95" s="236" t="s">
        <v>239</v>
      </c>
      <c r="D95" s="237">
        <v>11</v>
      </c>
      <c r="E95" s="244"/>
      <c r="F95" s="237">
        <f t="shared" si="19"/>
        <v>90</v>
      </c>
      <c r="G95" s="243">
        <f t="shared" si="20"/>
        <v>43</v>
      </c>
      <c r="H95" s="237">
        <f>SUM(N95,S95,X95,AC95,AH95,AM95,AR95,AW95,BB95,BG95,BL95,BQ95)</f>
        <v>8</v>
      </c>
      <c r="I95" s="242"/>
      <c r="J95" s="242">
        <f t="shared" si="21"/>
        <v>35</v>
      </c>
      <c r="K95" s="244"/>
      <c r="L95" s="237"/>
      <c r="M95" s="242"/>
      <c r="N95" s="261"/>
      <c r="O95" s="261"/>
      <c r="P95" s="242"/>
      <c r="Q95" s="242"/>
      <c r="R95" s="242"/>
      <c r="S95" s="261"/>
      <c r="T95" s="261"/>
      <c r="U95" s="244"/>
      <c r="V95" s="260"/>
      <c r="W95" s="242"/>
      <c r="X95" s="261"/>
      <c r="Y95" s="261"/>
      <c r="Z95" s="242"/>
      <c r="AA95" s="260"/>
      <c r="AB95" s="242"/>
      <c r="AC95" s="261"/>
      <c r="AD95" s="261"/>
      <c r="AE95" s="244"/>
      <c r="AF95" s="260"/>
      <c r="AG95" s="242"/>
      <c r="AH95" s="261"/>
      <c r="AI95" s="261"/>
      <c r="AJ95" s="242"/>
      <c r="AK95" s="242"/>
      <c r="AL95" s="242"/>
      <c r="AM95" s="261"/>
      <c r="AN95" s="261"/>
      <c r="AO95" s="244"/>
      <c r="AP95" s="260"/>
      <c r="AQ95" s="242"/>
      <c r="AR95" s="261"/>
      <c r="AS95" s="261"/>
      <c r="AT95" s="242"/>
      <c r="AU95" s="242"/>
      <c r="AV95" s="242"/>
      <c r="AW95" s="261"/>
      <c r="AX95" s="261"/>
      <c r="AY95" s="244"/>
      <c r="AZ95" s="260"/>
      <c r="BA95" s="242"/>
      <c r="BB95" s="261"/>
      <c r="BC95" s="261"/>
      <c r="BD95" s="242"/>
      <c r="BE95" s="242"/>
      <c r="BF95" s="242"/>
      <c r="BG95" s="261"/>
      <c r="BH95" s="261"/>
      <c r="BI95" s="244"/>
      <c r="BJ95" s="260">
        <v>90</v>
      </c>
      <c r="BK95" s="242">
        <f>SUM(BL95:BM95)</f>
        <v>43</v>
      </c>
      <c r="BL95" s="261">
        <v>8</v>
      </c>
      <c r="BM95" s="261">
        <v>35</v>
      </c>
      <c r="BN95" s="242">
        <v>3</v>
      </c>
      <c r="BO95" s="242"/>
      <c r="BP95" s="242"/>
      <c r="BQ95" s="261"/>
      <c r="BR95" s="261"/>
      <c r="BS95" s="244"/>
      <c r="BT95" s="247">
        <f t="shared" si="8"/>
        <v>3</v>
      </c>
      <c r="BU95" s="248" t="s">
        <v>490</v>
      </c>
    </row>
    <row r="96" spans="2:77" ht="39">
      <c r="B96" s="480" t="s">
        <v>285</v>
      </c>
      <c r="C96" s="303" t="s">
        <v>175</v>
      </c>
      <c r="D96" s="289"/>
      <c r="E96" s="223" t="s">
        <v>368</v>
      </c>
      <c r="F96" s="289"/>
      <c r="G96" s="324"/>
      <c r="H96" s="289"/>
      <c r="I96" s="310"/>
      <c r="J96" s="310"/>
      <c r="K96" s="313"/>
      <c r="L96" s="289"/>
      <c r="M96" s="310"/>
      <c r="N96" s="312"/>
      <c r="O96" s="312"/>
      <c r="P96" s="310"/>
      <c r="Q96" s="310"/>
      <c r="R96" s="310"/>
      <c r="S96" s="312"/>
      <c r="T96" s="312"/>
      <c r="U96" s="313"/>
      <c r="V96" s="311"/>
      <c r="W96" s="310"/>
      <c r="X96" s="312"/>
      <c r="Y96" s="312"/>
      <c r="Z96" s="310"/>
      <c r="AA96" s="311"/>
      <c r="AB96" s="310"/>
      <c r="AC96" s="312"/>
      <c r="AD96" s="312"/>
      <c r="AE96" s="313"/>
      <c r="AF96" s="311"/>
      <c r="AG96" s="310"/>
      <c r="AH96" s="312"/>
      <c r="AI96" s="312"/>
      <c r="AJ96" s="310"/>
      <c r="AK96" s="310"/>
      <c r="AL96" s="310"/>
      <c r="AM96" s="312"/>
      <c r="AN96" s="312"/>
      <c r="AO96" s="313"/>
      <c r="AP96" s="311"/>
      <c r="AQ96" s="310"/>
      <c r="AR96" s="312"/>
      <c r="AS96" s="312"/>
      <c r="AT96" s="310"/>
      <c r="AU96" s="310"/>
      <c r="AV96" s="310"/>
      <c r="AW96" s="312"/>
      <c r="AX96" s="312"/>
      <c r="AY96" s="313"/>
      <c r="AZ96" s="311"/>
      <c r="BA96" s="310"/>
      <c r="BB96" s="312"/>
      <c r="BC96" s="312"/>
      <c r="BD96" s="310">
        <v>3</v>
      </c>
      <c r="BE96" s="310"/>
      <c r="BF96" s="310"/>
      <c r="BG96" s="312"/>
      <c r="BH96" s="312"/>
      <c r="BI96" s="313"/>
      <c r="BJ96" s="311"/>
      <c r="BK96" s="310"/>
      <c r="BL96" s="312"/>
      <c r="BM96" s="312"/>
      <c r="BN96" s="310"/>
      <c r="BO96" s="310"/>
      <c r="BP96" s="310"/>
      <c r="BQ96" s="312"/>
      <c r="BR96" s="312"/>
      <c r="BS96" s="313"/>
      <c r="BT96" s="348">
        <f t="shared" si="8"/>
        <v>3</v>
      </c>
      <c r="BU96" s="349" t="s">
        <v>491</v>
      </c>
      <c r="BV96" s="50">
        <f>SUM(BT99:BT99)</f>
        <v>3</v>
      </c>
      <c r="BX96" s="48">
        <f t="shared" si="17"/>
        <v>0</v>
      </c>
      <c r="BY96" s="48">
        <f t="shared" si="18"/>
        <v>0</v>
      </c>
    </row>
    <row r="97" spans="2:74" ht="51" customHeight="1">
      <c r="B97" s="479" t="s">
        <v>286</v>
      </c>
      <c r="C97" s="236" t="s">
        <v>530</v>
      </c>
      <c r="D97" s="237"/>
      <c r="E97" s="244"/>
      <c r="F97" s="237">
        <f t="shared" si="19"/>
        <v>48</v>
      </c>
      <c r="G97" s="243">
        <f t="shared" si="20"/>
        <v>35</v>
      </c>
      <c r="H97" s="237">
        <f>SUM(N97,S97,X97,AC97,AH97,AM97,AR97,AW97,BB97,BG97,BL97,BQ97)</f>
        <v>10</v>
      </c>
      <c r="I97" s="242"/>
      <c r="J97" s="242">
        <f t="shared" si="21"/>
        <v>25</v>
      </c>
      <c r="K97" s="244"/>
      <c r="L97" s="237"/>
      <c r="M97" s="242"/>
      <c r="N97" s="261"/>
      <c r="O97" s="261"/>
      <c r="P97" s="242"/>
      <c r="Q97" s="242"/>
      <c r="R97" s="242"/>
      <c r="S97" s="261"/>
      <c r="T97" s="261"/>
      <c r="U97" s="244"/>
      <c r="V97" s="260"/>
      <c r="W97" s="242"/>
      <c r="X97" s="261"/>
      <c r="Y97" s="261"/>
      <c r="Z97" s="242"/>
      <c r="AA97" s="260"/>
      <c r="AB97" s="242"/>
      <c r="AC97" s="261"/>
      <c r="AD97" s="261"/>
      <c r="AE97" s="244"/>
      <c r="AF97" s="260"/>
      <c r="AG97" s="242"/>
      <c r="AH97" s="261"/>
      <c r="AI97" s="261"/>
      <c r="AJ97" s="242"/>
      <c r="AK97" s="242"/>
      <c r="AL97" s="242"/>
      <c r="AM97" s="261"/>
      <c r="AN97" s="261"/>
      <c r="AO97" s="244"/>
      <c r="AP97" s="260"/>
      <c r="AQ97" s="242"/>
      <c r="AR97" s="261"/>
      <c r="AS97" s="261"/>
      <c r="AT97" s="242"/>
      <c r="AU97" s="242">
        <v>48</v>
      </c>
      <c r="AV97" s="242">
        <f>SUM(AW97:AX97)</f>
        <v>35</v>
      </c>
      <c r="AW97" s="261">
        <v>10</v>
      </c>
      <c r="AX97" s="261">
        <v>25</v>
      </c>
      <c r="AY97" s="244"/>
      <c r="AZ97" s="260"/>
      <c r="BA97" s="242"/>
      <c r="BB97" s="261"/>
      <c r="BC97" s="261"/>
      <c r="BD97" s="242"/>
      <c r="BE97" s="242"/>
      <c r="BF97" s="242"/>
      <c r="BG97" s="261"/>
      <c r="BH97" s="261"/>
      <c r="BI97" s="244"/>
      <c r="BJ97" s="260"/>
      <c r="BK97" s="242"/>
      <c r="BL97" s="261"/>
      <c r="BM97" s="261"/>
      <c r="BN97" s="242"/>
      <c r="BO97" s="242"/>
      <c r="BP97" s="242"/>
      <c r="BQ97" s="261"/>
      <c r="BR97" s="261"/>
      <c r="BS97" s="244"/>
      <c r="BT97" s="247"/>
      <c r="BU97" s="248"/>
      <c r="BV97" s="50"/>
    </row>
    <row r="98" spans="2:74" ht="52.5" customHeight="1">
      <c r="B98" s="479" t="s">
        <v>287</v>
      </c>
      <c r="C98" s="236" t="s">
        <v>531</v>
      </c>
      <c r="D98" s="237"/>
      <c r="E98" s="244"/>
      <c r="F98" s="237">
        <f t="shared" si="19"/>
        <v>90</v>
      </c>
      <c r="G98" s="243">
        <f t="shared" si="20"/>
        <v>65</v>
      </c>
      <c r="H98" s="237">
        <f>SUM(N98,S98,X98,AC98,AH98,AM98,AR98,AW98,BB98,BG98,BL98,BQ98)</f>
        <v>20</v>
      </c>
      <c r="I98" s="242"/>
      <c r="J98" s="242">
        <f t="shared" si="21"/>
        <v>45</v>
      </c>
      <c r="K98" s="244"/>
      <c r="L98" s="237"/>
      <c r="M98" s="242"/>
      <c r="N98" s="261"/>
      <c r="O98" s="261"/>
      <c r="P98" s="242"/>
      <c r="Q98" s="242"/>
      <c r="R98" s="242"/>
      <c r="S98" s="261"/>
      <c r="T98" s="261"/>
      <c r="U98" s="244"/>
      <c r="V98" s="260"/>
      <c r="W98" s="242"/>
      <c r="X98" s="261"/>
      <c r="Y98" s="261"/>
      <c r="Z98" s="242"/>
      <c r="AA98" s="260"/>
      <c r="AB98" s="242"/>
      <c r="AC98" s="261"/>
      <c r="AD98" s="261"/>
      <c r="AE98" s="244"/>
      <c r="AF98" s="260"/>
      <c r="AG98" s="242"/>
      <c r="AH98" s="261"/>
      <c r="AI98" s="261"/>
      <c r="AJ98" s="242"/>
      <c r="AK98" s="242"/>
      <c r="AL98" s="242"/>
      <c r="AM98" s="261"/>
      <c r="AN98" s="261"/>
      <c r="AO98" s="244"/>
      <c r="AP98" s="260"/>
      <c r="AQ98" s="242"/>
      <c r="AR98" s="261"/>
      <c r="AS98" s="261"/>
      <c r="AT98" s="242"/>
      <c r="AU98" s="242"/>
      <c r="AV98" s="242"/>
      <c r="AW98" s="261"/>
      <c r="AX98" s="261"/>
      <c r="AY98" s="244"/>
      <c r="AZ98" s="260">
        <v>90</v>
      </c>
      <c r="BA98" s="242">
        <f>SUM(BB98:BC98)</f>
        <v>65</v>
      </c>
      <c r="BB98" s="261">
        <v>20</v>
      </c>
      <c r="BC98" s="261">
        <v>45</v>
      </c>
      <c r="BD98" s="242"/>
      <c r="BE98" s="242"/>
      <c r="BF98" s="242"/>
      <c r="BG98" s="261"/>
      <c r="BH98" s="261"/>
      <c r="BI98" s="244"/>
      <c r="BJ98" s="260"/>
      <c r="BK98" s="242"/>
      <c r="BL98" s="261"/>
      <c r="BM98" s="261"/>
      <c r="BN98" s="242"/>
      <c r="BO98" s="242"/>
      <c r="BP98" s="242"/>
      <c r="BQ98" s="261"/>
      <c r="BR98" s="261"/>
      <c r="BS98" s="244"/>
      <c r="BT98" s="261"/>
      <c r="BU98" s="248"/>
      <c r="BV98" s="50"/>
    </row>
    <row r="99" spans="2:77" ht="26.25" customHeight="1">
      <c r="B99" s="479" t="s">
        <v>288</v>
      </c>
      <c r="C99" s="236" t="s">
        <v>532</v>
      </c>
      <c r="D99" s="237"/>
      <c r="E99" s="244"/>
      <c r="F99" s="237">
        <f t="shared" si="19"/>
        <v>138</v>
      </c>
      <c r="G99" s="243">
        <f t="shared" si="20"/>
        <v>92</v>
      </c>
      <c r="H99" s="237">
        <f>SUM(N99,S99,X99,AC99,AH99,AM99,AR99,AW99,BB99,BG99,BL99,BQ99)</f>
        <v>26</v>
      </c>
      <c r="I99" s="242"/>
      <c r="J99" s="242">
        <f t="shared" si="21"/>
        <v>66</v>
      </c>
      <c r="K99" s="244"/>
      <c r="L99" s="237"/>
      <c r="M99" s="242"/>
      <c r="N99" s="261"/>
      <c r="O99" s="261"/>
      <c r="P99" s="242"/>
      <c r="Q99" s="242"/>
      <c r="R99" s="242"/>
      <c r="S99" s="261"/>
      <c r="T99" s="261"/>
      <c r="U99" s="244"/>
      <c r="V99" s="260"/>
      <c r="W99" s="242"/>
      <c r="X99" s="261"/>
      <c r="Y99" s="261"/>
      <c r="Z99" s="242"/>
      <c r="AA99" s="242"/>
      <c r="AB99" s="242"/>
      <c r="AC99" s="261"/>
      <c r="AD99" s="261"/>
      <c r="AE99" s="244"/>
      <c r="AF99" s="260">
        <v>66</v>
      </c>
      <c r="AG99" s="242">
        <f>SUM(AH99:AI99)</f>
        <v>44</v>
      </c>
      <c r="AH99" s="261">
        <v>10</v>
      </c>
      <c r="AI99" s="261">
        <v>34</v>
      </c>
      <c r="AJ99" s="242"/>
      <c r="AK99" s="242">
        <v>72</v>
      </c>
      <c r="AL99" s="242">
        <f>SUM(AM99:AN99)</f>
        <v>48</v>
      </c>
      <c r="AM99" s="261">
        <v>16</v>
      </c>
      <c r="AN99" s="261">
        <v>32</v>
      </c>
      <c r="AO99" s="244">
        <v>3</v>
      </c>
      <c r="AP99" s="260"/>
      <c r="AQ99" s="242"/>
      <c r="AR99" s="261"/>
      <c r="AS99" s="261"/>
      <c r="AT99" s="242"/>
      <c r="AU99" s="242"/>
      <c r="AV99" s="242"/>
      <c r="AW99" s="261"/>
      <c r="AX99" s="261"/>
      <c r="AY99" s="244"/>
      <c r="AZ99" s="260"/>
      <c r="BA99" s="242"/>
      <c r="BB99" s="261"/>
      <c r="BC99" s="261"/>
      <c r="BD99" s="242"/>
      <c r="BE99" s="242"/>
      <c r="BF99" s="242"/>
      <c r="BG99" s="261"/>
      <c r="BH99" s="261"/>
      <c r="BI99" s="244"/>
      <c r="BJ99" s="260"/>
      <c r="BK99" s="242"/>
      <c r="BL99" s="261"/>
      <c r="BM99" s="261"/>
      <c r="BN99" s="242"/>
      <c r="BO99" s="242"/>
      <c r="BP99" s="242"/>
      <c r="BQ99" s="261"/>
      <c r="BR99" s="261"/>
      <c r="BS99" s="244"/>
      <c r="BT99" s="350">
        <f t="shared" si="8"/>
        <v>3</v>
      </c>
      <c r="BU99" s="248"/>
      <c r="BX99" s="48">
        <f t="shared" si="17"/>
        <v>0</v>
      </c>
      <c r="BY99" s="48">
        <f t="shared" si="18"/>
        <v>0</v>
      </c>
    </row>
    <row r="100" spans="2:77" ht="42" customHeight="1">
      <c r="B100" s="480" t="s">
        <v>289</v>
      </c>
      <c r="C100" s="303" t="s">
        <v>528</v>
      </c>
      <c r="D100" s="224">
        <v>9</v>
      </c>
      <c r="E100" s="313"/>
      <c r="F100" s="289"/>
      <c r="G100" s="324"/>
      <c r="H100" s="289"/>
      <c r="I100" s="310"/>
      <c r="J100" s="310"/>
      <c r="K100" s="313"/>
      <c r="L100" s="289"/>
      <c r="M100" s="310"/>
      <c r="N100" s="312"/>
      <c r="O100" s="312"/>
      <c r="P100" s="310"/>
      <c r="Q100" s="310"/>
      <c r="R100" s="310"/>
      <c r="S100" s="312"/>
      <c r="T100" s="312"/>
      <c r="U100" s="313"/>
      <c r="V100" s="311"/>
      <c r="W100" s="310"/>
      <c r="X100" s="312"/>
      <c r="Y100" s="312"/>
      <c r="Z100" s="310"/>
      <c r="AA100" s="310"/>
      <c r="AB100" s="310"/>
      <c r="AC100" s="312"/>
      <c r="AD100" s="312"/>
      <c r="AE100" s="313"/>
      <c r="AF100" s="311"/>
      <c r="AG100" s="310"/>
      <c r="AH100" s="312"/>
      <c r="AI100" s="312"/>
      <c r="AJ100" s="310"/>
      <c r="AK100" s="311"/>
      <c r="AL100" s="310"/>
      <c r="AM100" s="312"/>
      <c r="AN100" s="312"/>
      <c r="AO100" s="313"/>
      <c r="AP100" s="311"/>
      <c r="AQ100" s="310"/>
      <c r="AR100" s="312"/>
      <c r="AS100" s="312"/>
      <c r="AT100" s="310"/>
      <c r="AU100" s="310"/>
      <c r="AV100" s="310"/>
      <c r="AW100" s="312"/>
      <c r="AX100" s="312"/>
      <c r="AY100" s="313"/>
      <c r="AZ100" s="311"/>
      <c r="BA100" s="310"/>
      <c r="BB100" s="312"/>
      <c r="BC100" s="312"/>
      <c r="BD100" s="310">
        <v>4</v>
      </c>
      <c r="BE100" s="310"/>
      <c r="BF100" s="310"/>
      <c r="BG100" s="312"/>
      <c r="BH100" s="312"/>
      <c r="BI100" s="313"/>
      <c r="BJ100" s="311"/>
      <c r="BK100" s="310"/>
      <c r="BL100" s="312"/>
      <c r="BM100" s="312"/>
      <c r="BN100" s="310"/>
      <c r="BO100" s="310"/>
      <c r="BP100" s="310"/>
      <c r="BQ100" s="312"/>
      <c r="BR100" s="312"/>
      <c r="BS100" s="313"/>
      <c r="BT100" s="259">
        <f t="shared" si="8"/>
        <v>4</v>
      </c>
      <c r="BU100" s="314"/>
      <c r="BV100" s="50">
        <f>SUM(BT101:BT102)</f>
        <v>0</v>
      </c>
      <c r="BX100" s="48">
        <f t="shared" si="17"/>
        <v>0</v>
      </c>
      <c r="BY100" s="48">
        <f t="shared" si="18"/>
        <v>0</v>
      </c>
    </row>
    <row r="101" spans="2:77" ht="43.5" customHeight="1">
      <c r="B101" s="479" t="s">
        <v>290</v>
      </c>
      <c r="C101" s="236" t="s">
        <v>92</v>
      </c>
      <c r="D101" s="237"/>
      <c r="E101" s="244"/>
      <c r="F101" s="237">
        <f>SUM(L101,Q101,V101,AA101,AF101,AK101,AP101,AU101,AZ101,BE101,BJ101,BO101)</f>
        <v>103</v>
      </c>
      <c r="G101" s="243">
        <f>SUM(H101:K101)</f>
        <v>65</v>
      </c>
      <c r="H101" s="237">
        <f>SUM(N101,S101,X101,AC101,AH101,AM101,AR101,AW101,BB101,BG101,BL101,BQ101)</f>
        <v>20</v>
      </c>
      <c r="I101" s="242"/>
      <c r="J101" s="242">
        <f>SUM(O101,T101,Y101,AD101,AI101,AN101,AS101,AX101,BC101,BH101,BM101,BR101)</f>
        <v>45</v>
      </c>
      <c r="K101" s="244"/>
      <c r="L101" s="237"/>
      <c r="M101" s="242"/>
      <c r="N101" s="261"/>
      <c r="O101" s="261"/>
      <c r="P101" s="242"/>
      <c r="Q101" s="242"/>
      <c r="R101" s="242"/>
      <c r="S101" s="261"/>
      <c r="T101" s="261"/>
      <c r="U101" s="244"/>
      <c r="V101" s="260"/>
      <c r="W101" s="242"/>
      <c r="X101" s="261"/>
      <c r="Y101" s="261"/>
      <c r="Z101" s="242"/>
      <c r="AA101" s="242"/>
      <c r="AB101" s="242"/>
      <c r="AC101" s="261"/>
      <c r="AD101" s="261"/>
      <c r="AE101" s="244"/>
      <c r="AF101" s="260"/>
      <c r="AG101" s="242"/>
      <c r="AH101" s="261"/>
      <c r="AI101" s="261"/>
      <c r="AJ101" s="242"/>
      <c r="AK101" s="242"/>
      <c r="AL101" s="242"/>
      <c r="AM101" s="261"/>
      <c r="AN101" s="261"/>
      <c r="AO101" s="244"/>
      <c r="AP101" s="260"/>
      <c r="AQ101" s="242"/>
      <c r="AR101" s="261"/>
      <c r="AS101" s="261"/>
      <c r="AT101" s="242"/>
      <c r="AU101" s="242">
        <v>50</v>
      </c>
      <c r="AV101" s="242">
        <f>SUM(AW101:AX101)</f>
        <v>30</v>
      </c>
      <c r="AW101" s="261">
        <v>10</v>
      </c>
      <c r="AX101" s="261">
        <v>20</v>
      </c>
      <c r="AY101" s="244"/>
      <c r="AZ101" s="260">
        <v>53</v>
      </c>
      <c r="BA101" s="242">
        <f>SUM(BB101:BC101)</f>
        <v>35</v>
      </c>
      <c r="BB101" s="261">
        <v>10</v>
      </c>
      <c r="BC101" s="261">
        <v>25</v>
      </c>
      <c r="BD101" s="242"/>
      <c r="BE101" s="242"/>
      <c r="BF101" s="242"/>
      <c r="BG101" s="261"/>
      <c r="BH101" s="261"/>
      <c r="BI101" s="244"/>
      <c r="BJ101" s="260"/>
      <c r="BK101" s="242"/>
      <c r="BL101" s="261"/>
      <c r="BM101" s="261"/>
      <c r="BN101" s="242"/>
      <c r="BO101" s="242"/>
      <c r="BP101" s="242"/>
      <c r="BQ101" s="261"/>
      <c r="BR101" s="261"/>
      <c r="BS101" s="244"/>
      <c r="BT101" s="247">
        <f t="shared" si="8"/>
        <v>0</v>
      </c>
      <c r="BU101" s="248" t="s">
        <v>492</v>
      </c>
      <c r="BX101" s="48">
        <f t="shared" si="17"/>
        <v>0</v>
      </c>
      <c r="BY101" s="48">
        <f t="shared" si="18"/>
        <v>0</v>
      </c>
    </row>
    <row r="102" spans="2:77" ht="45" customHeight="1">
      <c r="B102" s="479" t="s">
        <v>343</v>
      </c>
      <c r="C102" s="236" t="s">
        <v>107</v>
      </c>
      <c r="D102" s="237"/>
      <c r="E102" s="244"/>
      <c r="F102" s="237">
        <f>SUM(L102,Q102,V102,AA102,AF102,AK102,AP102,AU102,AZ102,BE102,BJ102,BO102)</f>
        <v>63</v>
      </c>
      <c r="G102" s="243">
        <f>SUM(H102:K102)</f>
        <v>42</v>
      </c>
      <c r="H102" s="237">
        <f>SUM(N102,S102,X102,AC102,AH102,AM102,AR102,AW102,BB102,BG102,BL102,BQ102)</f>
        <v>12</v>
      </c>
      <c r="I102" s="242"/>
      <c r="J102" s="242">
        <f>SUM(O102,T102,Y102,AD102,AI102,AN102,AS102,AX102,BC102,BH102,BM102,BR102)</f>
        <v>30</v>
      </c>
      <c r="K102" s="244"/>
      <c r="L102" s="237"/>
      <c r="M102" s="242"/>
      <c r="N102" s="261"/>
      <c r="O102" s="261"/>
      <c r="P102" s="242"/>
      <c r="Q102" s="242"/>
      <c r="R102" s="242"/>
      <c r="S102" s="261"/>
      <c r="T102" s="261"/>
      <c r="U102" s="244"/>
      <c r="V102" s="260"/>
      <c r="W102" s="242"/>
      <c r="X102" s="261"/>
      <c r="Y102" s="261"/>
      <c r="Z102" s="242"/>
      <c r="AA102" s="242"/>
      <c r="AB102" s="242"/>
      <c r="AC102" s="261"/>
      <c r="AD102" s="261"/>
      <c r="AE102" s="244"/>
      <c r="AF102" s="260"/>
      <c r="AG102" s="242"/>
      <c r="AH102" s="261"/>
      <c r="AI102" s="261"/>
      <c r="AJ102" s="242"/>
      <c r="AK102" s="242"/>
      <c r="AL102" s="242"/>
      <c r="AM102" s="261"/>
      <c r="AN102" s="261"/>
      <c r="AO102" s="244"/>
      <c r="AP102" s="260"/>
      <c r="AQ102" s="242"/>
      <c r="AR102" s="261"/>
      <c r="AS102" s="261"/>
      <c r="AT102" s="242"/>
      <c r="AU102" s="242"/>
      <c r="AV102" s="242"/>
      <c r="AW102" s="261"/>
      <c r="AX102" s="261"/>
      <c r="AY102" s="244"/>
      <c r="AZ102" s="242">
        <v>63</v>
      </c>
      <c r="BA102" s="242">
        <f>SUM(BB102:BC102)</f>
        <v>42</v>
      </c>
      <c r="BB102" s="261">
        <v>12</v>
      </c>
      <c r="BC102" s="261">
        <v>30</v>
      </c>
      <c r="BD102" s="242"/>
      <c r="BE102" s="242"/>
      <c r="BF102" s="242">
        <f>SUM(BG102:BH102)</f>
        <v>0</v>
      </c>
      <c r="BG102" s="261"/>
      <c r="BH102" s="261"/>
      <c r="BI102" s="244"/>
      <c r="BJ102" s="260"/>
      <c r="BK102" s="242"/>
      <c r="BL102" s="261"/>
      <c r="BM102" s="261"/>
      <c r="BN102" s="242"/>
      <c r="BO102" s="242"/>
      <c r="BP102" s="242"/>
      <c r="BQ102" s="261"/>
      <c r="BR102" s="261"/>
      <c r="BS102" s="244"/>
      <c r="BT102" s="247">
        <f t="shared" si="8"/>
        <v>0</v>
      </c>
      <c r="BU102" s="346" t="s">
        <v>493</v>
      </c>
      <c r="BX102" s="48">
        <f t="shared" si="17"/>
        <v>0</v>
      </c>
      <c r="BY102" s="48">
        <f t="shared" si="18"/>
        <v>0</v>
      </c>
    </row>
    <row r="103" spans="2:77" ht="58.5">
      <c r="B103" s="480" t="s">
        <v>291</v>
      </c>
      <c r="C103" s="303" t="s">
        <v>529</v>
      </c>
      <c r="D103" s="289"/>
      <c r="E103" s="313"/>
      <c r="F103" s="289"/>
      <c r="G103" s="324"/>
      <c r="H103" s="289"/>
      <c r="I103" s="310"/>
      <c r="J103" s="310"/>
      <c r="K103" s="313"/>
      <c r="L103" s="289"/>
      <c r="M103" s="310"/>
      <c r="N103" s="312"/>
      <c r="O103" s="312"/>
      <c r="P103" s="310"/>
      <c r="Q103" s="310"/>
      <c r="R103" s="310"/>
      <c r="S103" s="312"/>
      <c r="T103" s="312"/>
      <c r="U103" s="313"/>
      <c r="V103" s="311"/>
      <c r="W103" s="310"/>
      <c r="X103" s="312"/>
      <c r="Y103" s="312"/>
      <c r="Z103" s="310"/>
      <c r="AA103" s="311"/>
      <c r="AB103" s="310"/>
      <c r="AC103" s="312"/>
      <c r="AD103" s="312"/>
      <c r="AE103" s="313"/>
      <c r="AF103" s="311"/>
      <c r="AG103" s="310"/>
      <c r="AH103" s="312"/>
      <c r="AI103" s="312"/>
      <c r="AJ103" s="310"/>
      <c r="AK103" s="310"/>
      <c r="AL103" s="310"/>
      <c r="AM103" s="312"/>
      <c r="AN103" s="312"/>
      <c r="AO103" s="313"/>
      <c r="AP103" s="311"/>
      <c r="AQ103" s="310"/>
      <c r="AR103" s="312"/>
      <c r="AS103" s="312"/>
      <c r="AT103" s="310"/>
      <c r="AU103" s="310"/>
      <c r="AV103" s="310"/>
      <c r="AW103" s="312"/>
      <c r="AX103" s="312"/>
      <c r="AY103" s="313"/>
      <c r="AZ103" s="311"/>
      <c r="BA103" s="310"/>
      <c r="BB103" s="312"/>
      <c r="BC103" s="312"/>
      <c r="BD103" s="310"/>
      <c r="BE103" s="310"/>
      <c r="BF103" s="310"/>
      <c r="BG103" s="312"/>
      <c r="BH103" s="312"/>
      <c r="BI103" s="313"/>
      <c r="BJ103" s="311"/>
      <c r="BK103" s="310"/>
      <c r="BL103" s="312"/>
      <c r="BM103" s="312"/>
      <c r="BN103" s="310"/>
      <c r="BO103" s="310"/>
      <c r="BP103" s="310"/>
      <c r="BQ103" s="312"/>
      <c r="BR103" s="312"/>
      <c r="BS103" s="313"/>
      <c r="BT103" s="259"/>
      <c r="BU103" s="314"/>
      <c r="BV103" s="50">
        <f>SUM(BT104:BT105)</f>
        <v>6</v>
      </c>
      <c r="BX103" s="48">
        <f t="shared" si="17"/>
        <v>0</v>
      </c>
      <c r="BY103" s="48">
        <f t="shared" si="18"/>
        <v>0</v>
      </c>
    </row>
    <row r="104" spans="2:77" ht="65.25" customHeight="1">
      <c r="B104" s="479" t="s">
        <v>292</v>
      </c>
      <c r="C104" s="236" t="s">
        <v>93</v>
      </c>
      <c r="D104" s="237">
        <v>9</v>
      </c>
      <c r="E104" s="244"/>
      <c r="F104" s="237">
        <f>SUM(L104,Q104,V104,AA104,AF104,AK104,AP104,AU104,AZ104,BE104,BJ104,BO104)</f>
        <v>108</v>
      </c>
      <c r="G104" s="243">
        <f>SUM(H104:K104)</f>
        <v>61</v>
      </c>
      <c r="H104" s="237">
        <f>SUM(N104,S104,X104,AC104,AH104,AM104,AR104,AW104,BB104,BG104,BL104,BQ104)</f>
        <v>16</v>
      </c>
      <c r="I104" s="242"/>
      <c r="J104" s="242">
        <f>SUM(O104,T104,Y104,AD104,AI104,AN104,AS104,AX104,BC104,BH104,BM104,BR104)</f>
        <v>45</v>
      </c>
      <c r="K104" s="244"/>
      <c r="L104" s="237"/>
      <c r="M104" s="242"/>
      <c r="N104" s="261"/>
      <c r="O104" s="261"/>
      <c r="P104" s="242"/>
      <c r="Q104" s="242"/>
      <c r="R104" s="242"/>
      <c r="S104" s="261"/>
      <c r="T104" s="261"/>
      <c r="U104" s="244"/>
      <c r="V104" s="260"/>
      <c r="W104" s="242"/>
      <c r="X104" s="261"/>
      <c r="Y104" s="261"/>
      <c r="Z104" s="242"/>
      <c r="AA104" s="242"/>
      <c r="AB104" s="242"/>
      <c r="AC104" s="261"/>
      <c r="AD104" s="261"/>
      <c r="AE104" s="244"/>
      <c r="AF104" s="260"/>
      <c r="AG104" s="242"/>
      <c r="AH104" s="261"/>
      <c r="AI104" s="261"/>
      <c r="AJ104" s="242"/>
      <c r="AK104" s="242"/>
      <c r="AL104" s="242"/>
      <c r="AM104" s="261"/>
      <c r="AN104" s="261"/>
      <c r="AO104" s="244"/>
      <c r="AP104" s="260"/>
      <c r="AQ104" s="242"/>
      <c r="AR104" s="261"/>
      <c r="AS104" s="261"/>
      <c r="AT104" s="242"/>
      <c r="AU104" s="242"/>
      <c r="AV104" s="242">
        <f>SUM(AW104:AX104)</f>
        <v>0</v>
      </c>
      <c r="AW104" s="261"/>
      <c r="AX104" s="261"/>
      <c r="AY104" s="244"/>
      <c r="AZ104" s="260">
        <v>108</v>
      </c>
      <c r="BA104" s="242">
        <f>SUM(BB104:BC104)</f>
        <v>61</v>
      </c>
      <c r="BB104" s="261">
        <v>16</v>
      </c>
      <c r="BC104" s="261">
        <v>45</v>
      </c>
      <c r="BD104" s="242">
        <v>3</v>
      </c>
      <c r="BE104" s="242"/>
      <c r="BF104" s="242"/>
      <c r="BG104" s="261"/>
      <c r="BH104" s="261"/>
      <c r="BI104" s="244"/>
      <c r="BJ104" s="260"/>
      <c r="BK104" s="242"/>
      <c r="BL104" s="261"/>
      <c r="BM104" s="261"/>
      <c r="BN104" s="242"/>
      <c r="BO104" s="242"/>
      <c r="BP104" s="242"/>
      <c r="BQ104" s="261"/>
      <c r="BR104" s="261"/>
      <c r="BS104" s="244"/>
      <c r="BT104" s="247">
        <f t="shared" si="8"/>
        <v>3</v>
      </c>
      <c r="BU104" s="346" t="s">
        <v>494</v>
      </c>
      <c r="BX104" s="48">
        <f t="shared" si="17"/>
        <v>0</v>
      </c>
      <c r="BY104" s="48">
        <f t="shared" si="18"/>
        <v>0</v>
      </c>
    </row>
    <row r="105" spans="2:77" ht="69.75" customHeight="1">
      <c r="B105" s="479" t="s">
        <v>293</v>
      </c>
      <c r="C105" s="351" t="s">
        <v>353</v>
      </c>
      <c r="D105" s="237"/>
      <c r="E105" s="250">
        <v>11</v>
      </c>
      <c r="F105" s="237">
        <f>SUM(L105,Q105,V105,AA105,AF105,AK105,AP105,AU105,AZ105,BE105,BJ105,BO105)</f>
        <v>90</v>
      </c>
      <c r="G105" s="243">
        <f>SUM(H105:K105)</f>
        <v>35</v>
      </c>
      <c r="H105" s="352">
        <f>SUM(N105,S105,X105,AC105,AH105,AM105,AR105,AW105,BB105,BG105,BL105,BQ105)</f>
        <v>0</v>
      </c>
      <c r="I105" s="242"/>
      <c r="J105" s="242">
        <f>SUM(O105,T105,Y105,AD105,AI105,AN105,AS105,AX105,BC105,BH105,BM105,BR105)</f>
        <v>35</v>
      </c>
      <c r="K105" s="244"/>
      <c r="L105" s="353"/>
      <c r="M105" s="255"/>
      <c r="N105" s="354"/>
      <c r="O105" s="354"/>
      <c r="P105" s="255"/>
      <c r="Q105" s="255"/>
      <c r="R105" s="255"/>
      <c r="S105" s="354"/>
      <c r="T105" s="354"/>
      <c r="U105" s="250"/>
      <c r="V105" s="355"/>
      <c r="W105" s="255"/>
      <c r="X105" s="354"/>
      <c r="Y105" s="354"/>
      <c r="Z105" s="255"/>
      <c r="AA105" s="255"/>
      <c r="AB105" s="255"/>
      <c r="AC105" s="354"/>
      <c r="AD105" s="354"/>
      <c r="AE105" s="250"/>
      <c r="AF105" s="355"/>
      <c r="AG105" s="255"/>
      <c r="AH105" s="354"/>
      <c r="AI105" s="354"/>
      <c r="AJ105" s="255"/>
      <c r="AK105" s="255"/>
      <c r="AL105" s="255"/>
      <c r="AM105" s="354"/>
      <c r="AN105" s="354"/>
      <c r="AO105" s="250"/>
      <c r="AP105" s="355"/>
      <c r="AQ105" s="255"/>
      <c r="AR105" s="354"/>
      <c r="AS105" s="354"/>
      <c r="AT105" s="255"/>
      <c r="AU105" s="255"/>
      <c r="AV105" s="255"/>
      <c r="AW105" s="354"/>
      <c r="AX105" s="354"/>
      <c r="AY105" s="250"/>
      <c r="AZ105" s="355"/>
      <c r="BA105" s="255"/>
      <c r="BB105" s="354"/>
      <c r="BC105" s="354"/>
      <c r="BD105" s="255"/>
      <c r="BE105" s="255"/>
      <c r="BF105" s="255"/>
      <c r="BG105" s="354"/>
      <c r="BH105" s="354"/>
      <c r="BI105" s="250"/>
      <c r="BJ105" s="355">
        <v>90</v>
      </c>
      <c r="BK105" s="255">
        <f>BL105+BM105</f>
        <v>35</v>
      </c>
      <c r="BL105" s="354"/>
      <c r="BM105" s="354">
        <v>35</v>
      </c>
      <c r="BN105" s="255">
        <v>3</v>
      </c>
      <c r="BO105" s="255"/>
      <c r="BP105" s="255"/>
      <c r="BQ105" s="354"/>
      <c r="BR105" s="354"/>
      <c r="BS105" s="250"/>
      <c r="BT105" s="247">
        <f t="shared" si="8"/>
        <v>3</v>
      </c>
      <c r="BU105" s="346" t="s">
        <v>503</v>
      </c>
      <c r="BX105" s="48">
        <f t="shared" si="17"/>
        <v>5</v>
      </c>
      <c r="BY105" s="48">
        <f t="shared" si="18"/>
        <v>0</v>
      </c>
    </row>
    <row r="106" spans="2:81" ht="65.25">
      <c r="B106" s="480" t="s">
        <v>294</v>
      </c>
      <c r="C106" s="356" t="s">
        <v>533</v>
      </c>
      <c r="D106" s="289"/>
      <c r="E106" s="357">
        <v>11.12</v>
      </c>
      <c r="F106" s="289"/>
      <c r="G106" s="305"/>
      <c r="H106" s="358"/>
      <c r="I106" s="359"/>
      <c r="J106" s="359"/>
      <c r="K106" s="357"/>
      <c r="L106" s="358"/>
      <c r="M106" s="359"/>
      <c r="N106" s="359"/>
      <c r="O106" s="359"/>
      <c r="P106" s="315"/>
      <c r="Q106" s="359"/>
      <c r="R106" s="359"/>
      <c r="S106" s="359"/>
      <c r="T106" s="359"/>
      <c r="U106" s="360"/>
      <c r="V106" s="307"/>
      <c r="W106" s="307"/>
      <c r="X106" s="307"/>
      <c r="Y106" s="307"/>
      <c r="Z106" s="310"/>
      <c r="AA106" s="307"/>
      <c r="AB106" s="359"/>
      <c r="AC106" s="359"/>
      <c r="AD106" s="359"/>
      <c r="AE106" s="361"/>
      <c r="AF106" s="362"/>
      <c r="AG106" s="359"/>
      <c r="AH106" s="359"/>
      <c r="AI106" s="359"/>
      <c r="AJ106" s="315"/>
      <c r="AK106" s="359"/>
      <c r="AL106" s="359"/>
      <c r="AM106" s="359"/>
      <c r="AN106" s="359"/>
      <c r="AO106" s="361"/>
      <c r="AP106" s="362"/>
      <c r="AQ106" s="359"/>
      <c r="AR106" s="359"/>
      <c r="AS106" s="359"/>
      <c r="AT106" s="315"/>
      <c r="AU106" s="359"/>
      <c r="AV106" s="359"/>
      <c r="AW106" s="359"/>
      <c r="AX106" s="359"/>
      <c r="AY106" s="361"/>
      <c r="AZ106" s="362"/>
      <c r="BA106" s="359"/>
      <c r="BB106" s="359"/>
      <c r="BC106" s="359"/>
      <c r="BD106" s="315"/>
      <c r="BE106" s="359"/>
      <c r="BF106" s="359"/>
      <c r="BG106" s="359"/>
      <c r="BH106" s="359"/>
      <c r="BI106" s="360"/>
      <c r="BJ106" s="310"/>
      <c r="BK106" s="310"/>
      <c r="BL106" s="310"/>
      <c r="BM106" s="310"/>
      <c r="BN106" s="225"/>
      <c r="BO106" s="310"/>
      <c r="BP106" s="310"/>
      <c r="BQ106" s="310"/>
      <c r="BR106" s="310"/>
      <c r="BS106" s="225"/>
      <c r="BT106" s="259"/>
      <c r="BU106" s="316" t="s">
        <v>504</v>
      </c>
      <c r="BV106" s="50"/>
      <c r="BW106" s="49"/>
      <c r="BZ106" s="47"/>
      <c r="CA106" s="47"/>
      <c r="CB106" s="47"/>
      <c r="CC106" s="47"/>
    </row>
    <row r="107" spans="2:81" ht="20.25">
      <c r="B107" s="480" t="s">
        <v>237</v>
      </c>
      <c r="C107" s="356" t="s">
        <v>80</v>
      </c>
      <c r="D107" s="289"/>
      <c r="E107" s="357"/>
      <c r="F107" s="289"/>
      <c r="G107" s="305"/>
      <c r="H107" s="358"/>
      <c r="I107" s="359"/>
      <c r="J107" s="359"/>
      <c r="K107" s="357"/>
      <c r="L107" s="358"/>
      <c r="M107" s="359"/>
      <c r="N107" s="359"/>
      <c r="O107" s="359"/>
      <c r="P107" s="315"/>
      <c r="Q107" s="359"/>
      <c r="R107" s="359"/>
      <c r="S107" s="359"/>
      <c r="T107" s="359"/>
      <c r="U107" s="360"/>
      <c r="V107" s="307"/>
      <c r="W107" s="307"/>
      <c r="X107" s="307"/>
      <c r="Y107" s="307"/>
      <c r="Z107" s="310"/>
      <c r="AA107" s="307"/>
      <c r="AB107" s="359"/>
      <c r="AC107" s="359"/>
      <c r="AD107" s="359"/>
      <c r="AE107" s="361"/>
      <c r="AF107" s="362"/>
      <c r="AG107" s="359"/>
      <c r="AH107" s="359"/>
      <c r="AI107" s="359"/>
      <c r="AJ107" s="315"/>
      <c r="AK107" s="359"/>
      <c r="AL107" s="359"/>
      <c r="AM107" s="359"/>
      <c r="AN107" s="359"/>
      <c r="AO107" s="361"/>
      <c r="AP107" s="362"/>
      <c r="AQ107" s="359"/>
      <c r="AR107" s="359"/>
      <c r="AS107" s="359"/>
      <c r="AT107" s="315"/>
      <c r="AU107" s="359"/>
      <c r="AV107" s="359"/>
      <c r="AW107" s="359"/>
      <c r="AX107" s="359"/>
      <c r="AY107" s="361"/>
      <c r="AZ107" s="362"/>
      <c r="BA107" s="359"/>
      <c r="BB107" s="359"/>
      <c r="BC107" s="359"/>
      <c r="BD107" s="315"/>
      <c r="BE107" s="359"/>
      <c r="BF107" s="359"/>
      <c r="BG107" s="359"/>
      <c r="BH107" s="359"/>
      <c r="BI107" s="360"/>
      <c r="BJ107" s="307"/>
      <c r="BK107" s="307"/>
      <c r="BL107" s="309"/>
      <c r="BM107" s="309"/>
      <c r="BN107" s="310"/>
      <c r="BO107" s="310"/>
      <c r="BP107" s="307"/>
      <c r="BQ107" s="309"/>
      <c r="BR107" s="309"/>
      <c r="BS107" s="310"/>
      <c r="BT107" s="363"/>
      <c r="BU107" s="364"/>
      <c r="BV107" s="50"/>
      <c r="BW107" s="49"/>
      <c r="BZ107" s="47"/>
      <c r="CA107" s="47"/>
      <c r="CB107" s="47"/>
      <c r="CC107" s="47"/>
    </row>
    <row r="108" spans="2:81" ht="37.5">
      <c r="B108" s="479" t="s">
        <v>495</v>
      </c>
      <c r="C108" s="351" t="s">
        <v>80</v>
      </c>
      <c r="D108" s="237"/>
      <c r="E108" s="365" t="s">
        <v>480</v>
      </c>
      <c r="F108" s="237">
        <f aca="true" t="shared" si="22" ref="F108:F116">SUM(L108,Q108,V108,AA108,AF108,AK108,AP108,AU108,AZ108,BE108,BJ108,BO108)</f>
        <v>651</v>
      </c>
      <c r="G108" s="243">
        <f aca="true" t="shared" si="23" ref="G108:G116">SUM(H108:K108)</f>
        <v>441</v>
      </c>
      <c r="H108" s="237">
        <f aca="true" t="shared" si="24" ref="H108:H116">SUM(N108,S108,X108,AC108,AH108,AM108,AR108,AW108,BB108,BG108,BL108,BQ108)</f>
        <v>14</v>
      </c>
      <c r="I108" s="242"/>
      <c r="J108" s="242">
        <f aca="true" t="shared" si="25" ref="J108:J116">SUM(O108,T108,Y108,AD108,AI108,AN108,AS108,AX108,BC108,BH108,BM108,BR108)</f>
        <v>427</v>
      </c>
      <c r="K108" s="365"/>
      <c r="L108" s="366"/>
      <c r="M108" s="266"/>
      <c r="N108" s="266"/>
      <c r="O108" s="266"/>
      <c r="P108" s="255"/>
      <c r="Q108" s="266"/>
      <c r="R108" s="266"/>
      <c r="S108" s="266"/>
      <c r="T108" s="266"/>
      <c r="U108" s="367"/>
      <c r="V108" s="263"/>
      <c r="W108" s="263"/>
      <c r="X108" s="263"/>
      <c r="Y108" s="263"/>
      <c r="Z108" s="242"/>
      <c r="AA108" s="263"/>
      <c r="AB108" s="266"/>
      <c r="AC108" s="266"/>
      <c r="AD108" s="266"/>
      <c r="AE108" s="250"/>
      <c r="AF108" s="368"/>
      <c r="AG108" s="266"/>
      <c r="AH108" s="266"/>
      <c r="AI108" s="266"/>
      <c r="AJ108" s="255"/>
      <c r="AK108" s="266"/>
      <c r="AL108" s="266"/>
      <c r="AM108" s="266"/>
      <c r="AN108" s="266"/>
      <c r="AO108" s="250"/>
      <c r="AP108" s="368"/>
      <c r="AQ108" s="266"/>
      <c r="AR108" s="266"/>
      <c r="AS108" s="266"/>
      <c r="AT108" s="255"/>
      <c r="AU108" s="266"/>
      <c r="AV108" s="266"/>
      <c r="AW108" s="266"/>
      <c r="AX108" s="266"/>
      <c r="AY108" s="250"/>
      <c r="AZ108" s="368"/>
      <c r="BA108" s="266"/>
      <c r="BB108" s="266"/>
      <c r="BC108" s="266"/>
      <c r="BD108" s="255"/>
      <c r="BE108" s="266"/>
      <c r="BF108" s="266"/>
      <c r="BG108" s="266"/>
      <c r="BH108" s="266"/>
      <c r="BI108" s="367"/>
      <c r="BJ108" s="263">
        <v>335</v>
      </c>
      <c r="BK108" s="263">
        <f>SUM(BL108:BM108)</f>
        <v>231</v>
      </c>
      <c r="BL108" s="268">
        <v>14</v>
      </c>
      <c r="BM108" s="268">
        <v>217</v>
      </c>
      <c r="BN108" s="242">
        <v>9</v>
      </c>
      <c r="BO108" s="242">
        <v>316</v>
      </c>
      <c r="BP108" s="263">
        <f>SUM(BQ108:BR108)</f>
        <v>210</v>
      </c>
      <c r="BQ108" s="268"/>
      <c r="BR108" s="268">
        <v>210</v>
      </c>
      <c r="BS108" s="242">
        <v>9</v>
      </c>
      <c r="BT108" s="247">
        <f t="shared" si="8"/>
        <v>18</v>
      </c>
      <c r="BU108" s="369"/>
      <c r="BV108" s="50"/>
      <c r="BW108" s="49"/>
      <c r="BZ108" s="47"/>
      <c r="CA108" s="47"/>
      <c r="CB108" s="47"/>
      <c r="CC108" s="47"/>
    </row>
    <row r="109" spans="2:81" ht="46.5" customHeight="1">
      <c r="B109" s="479" t="s">
        <v>496</v>
      </c>
      <c r="C109" s="351" t="s">
        <v>219</v>
      </c>
      <c r="D109" s="237"/>
      <c r="E109" s="365">
        <v>11</v>
      </c>
      <c r="F109" s="237">
        <f t="shared" si="22"/>
        <v>198</v>
      </c>
      <c r="G109" s="243">
        <f t="shared" si="23"/>
        <v>119</v>
      </c>
      <c r="H109" s="370">
        <f t="shared" si="24"/>
        <v>0</v>
      </c>
      <c r="I109" s="263"/>
      <c r="J109" s="242">
        <f t="shared" si="25"/>
        <v>119</v>
      </c>
      <c r="K109" s="365"/>
      <c r="L109" s="366"/>
      <c r="M109" s="266"/>
      <c r="N109" s="266"/>
      <c r="O109" s="266"/>
      <c r="P109" s="255"/>
      <c r="Q109" s="266"/>
      <c r="R109" s="266"/>
      <c r="S109" s="266"/>
      <c r="T109" s="266"/>
      <c r="U109" s="367"/>
      <c r="V109" s="263"/>
      <c r="W109" s="263"/>
      <c r="X109" s="263"/>
      <c r="Y109" s="263"/>
      <c r="Z109" s="242"/>
      <c r="AA109" s="263"/>
      <c r="AB109" s="266"/>
      <c r="AC109" s="266"/>
      <c r="AD109" s="266"/>
      <c r="AE109" s="250"/>
      <c r="AF109" s="368"/>
      <c r="AG109" s="266"/>
      <c r="AH109" s="266"/>
      <c r="AI109" s="266"/>
      <c r="AJ109" s="255"/>
      <c r="AK109" s="266"/>
      <c r="AL109" s="266"/>
      <c r="AM109" s="266"/>
      <c r="AN109" s="266"/>
      <c r="AO109" s="250"/>
      <c r="AP109" s="368"/>
      <c r="AQ109" s="266"/>
      <c r="AR109" s="266"/>
      <c r="AS109" s="266"/>
      <c r="AT109" s="255"/>
      <c r="AU109" s="266"/>
      <c r="AV109" s="266"/>
      <c r="AW109" s="266"/>
      <c r="AX109" s="266"/>
      <c r="AY109" s="250"/>
      <c r="AZ109" s="368"/>
      <c r="BA109" s="266"/>
      <c r="BB109" s="266"/>
      <c r="BC109" s="266"/>
      <c r="BD109" s="255"/>
      <c r="BE109" s="266"/>
      <c r="BF109" s="266"/>
      <c r="BG109" s="266"/>
      <c r="BH109" s="266"/>
      <c r="BI109" s="367"/>
      <c r="BJ109" s="263">
        <v>198</v>
      </c>
      <c r="BK109" s="263">
        <f>SUM(BL109:BM109)</f>
        <v>119</v>
      </c>
      <c r="BL109" s="268"/>
      <c r="BM109" s="268">
        <v>119</v>
      </c>
      <c r="BN109" s="242">
        <v>6</v>
      </c>
      <c r="BO109" s="242"/>
      <c r="BP109" s="263"/>
      <c r="BQ109" s="268"/>
      <c r="BR109" s="268"/>
      <c r="BS109" s="242"/>
      <c r="BT109" s="247">
        <f t="shared" si="8"/>
        <v>6</v>
      </c>
      <c r="BU109" s="369"/>
      <c r="BV109" s="50"/>
      <c r="BW109" s="49"/>
      <c r="BZ109" s="47"/>
      <c r="CA109" s="47"/>
      <c r="CB109" s="47"/>
      <c r="CC109" s="47"/>
    </row>
    <row r="110" spans="2:81" ht="66" customHeight="1">
      <c r="B110" s="479" t="s">
        <v>497</v>
      </c>
      <c r="C110" s="351" t="s">
        <v>90</v>
      </c>
      <c r="D110" s="237"/>
      <c r="E110" s="365">
        <v>12</v>
      </c>
      <c r="F110" s="237">
        <f t="shared" si="22"/>
        <v>198</v>
      </c>
      <c r="G110" s="243">
        <f t="shared" si="23"/>
        <v>105</v>
      </c>
      <c r="H110" s="370">
        <f t="shared" si="24"/>
        <v>0</v>
      </c>
      <c r="I110" s="263"/>
      <c r="J110" s="242">
        <f t="shared" si="25"/>
        <v>105</v>
      </c>
      <c r="K110" s="365"/>
      <c r="L110" s="366"/>
      <c r="M110" s="266"/>
      <c r="N110" s="266"/>
      <c r="O110" s="266"/>
      <c r="P110" s="255"/>
      <c r="Q110" s="266"/>
      <c r="R110" s="266"/>
      <c r="S110" s="266"/>
      <c r="T110" s="266"/>
      <c r="U110" s="367"/>
      <c r="V110" s="263"/>
      <c r="W110" s="263"/>
      <c r="X110" s="263"/>
      <c r="Y110" s="263"/>
      <c r="Z110" s="242"/>
      <c r="AA110" s="263"/>
      <c r="AB110" s="266"/>
      <c r="AC110" s="266"/>
      <c r="AD110" s="266"/>
      <c r="AE110" s="250"/>
      <c r="AF110" s="368"/>
      <c r="AG110" s="266"/>
      <c r="AH110" s="266"/>
      <c r="AI110" s="266"/>
      <c r="AJ110" s="255"/>
      <c r="AK110" s="266"/>
      <c r="AL110" s="266"/>
      <c r="AM110" s="266"/>
      <c r="AN110" s="266"/>
      <c r="AO110" s="250"/>
      <c r="AP110" s="368"/>
      <c r="AQ110" s="266"/>
      <c r="AR110" s="266"/>
      <c r="AS110" s="266"/>
      <c r="AT110" s="255"/>
      <c r="AU110" s="266"/>
      <c r="AV110" s="266"/>
      <c r="AW110" s="266"/>
      <c r="AX110" s="266"/>
      <c r="AY110" s="250"/>
      <c r="AZ110" s="368"/>
      <c r="BA110" s="266"/>
      <c r="BB110" s="266"/>
      <c r="BC110" s="266"/>
      <c r="BD110" s="255"/>
      <c r="BE110" s="266"/>
      <c r="BF110" s="266"/>
      <c r="BG110" s="266"/>
      <c r="BH110" s="266"/>
      <c r="BI110" s="367"/>
      <c r="BJ110" s="263"/>
      <c r="BK110" s="263"/>
      <c r="BL110" s="268"/>
      <c r="BM110" s="268"/>
      <c r="BN110" s="242"/>
      <c r="BO110" s="263">
        <v>198</v>
      </c>
      <c r="BP110" s="263">
        <f>SUM(BQ110:BR110)</f>
        <v>105</v>
      </c>
      <c r="BQ110" s="268"/>
      <c r="BR110" s="268">
        <v>105</v>
      </c>
      <c r="BS110" s="242">
        <v>6</v>
      </c>
      <c r="BT110" s="247">
        <f t="shared" si="8"/>
        <v>6</v>
      </c>
      <c r="BU110" s="369"/>
      <c r="BV110" s="50"/>
      <c r="BW110" s="49"/>
      <c r="BZ110" s="47"/>
      <c r="CA110" s="47"/>
      <c r="CB110" s="47"/>
      <c r="CC110" s="47"/>
    </row>
    <row r="111" spans="2:81" ht="20.25">
      <c r="B111" s="480" t="s">
        <v>295</v>
      </c>
      <c r="C111" s="371" t="s">
        <v>400</v>
      </c>
      <c r="D111" s="289"/>
      <c r="E111" s="372">
        <v>12</v>
      </c>
      <c r="F111" s="289"/>
      <c r="G111" s="324"/>
      <c r="H111" s="306"/>
      <c r="I111" s="310"/>
      <c r="J111" s="310"/>
      <c r="K111" s="304"/>
      <c r="L111" s="306"/>
      <c r="M111" s="307"/>
      <c r="N111" s="307"/>
      <c r="O111" s="307"/>
      <c r="P111" s="310"/>
      <c r="Q111" s="307"/>
      <c r="R111" s="307"/>
      <c r="S111" s="307"/>
      <c r="T111" s="307"/>
      <c r="U111" s="360"/>
      <c r="V111" s="307"/>
      <c r="W111" s="307"/>
      <c r="X111" s="307"/>
      <c r="Y111" s="307"/>
      <c r="Z111" s="310"/>
      <c r="AA111" s="307"/>
      <c r="AB111" s="307"/>
      <c r="AC111" s="307"/>
      <c r="AD111" s="307"/>
      <c r="AE111" s="313"/>
      <c r="AF111" s="306"/>
      <c r="AG111" s="307"/>
      <c r="AH111" s="307"/>
      <c r="AI111" s="307"/>
      <c r="AJ111" s="310"/>
      <c r="AK111" s="307"/>
      <c r="AL111" s="307"/>
      <c r="AM111" s="307"/>
      <c r="AN111" s="307"/>
      <c r="AO111" s="313"/>
      <c r="AP111" s="362"/>
      <c r="AQ111" s="359"/>
      <c r="AR111" s="359"/>
      <c r="AS111" s="359"/>
      <c r="AT111" s="315"/>
      <c r="AU111" s="307"/>
      <c r="AV111" s="307"/>
      <c r="AW111" s="359"/>
      <c r="AX111" s="359"/>
      <c r="AY111" s="361"/>
      <c r="AZ111" s="362"/>
      <c r="BA111" s="359"/>
      <c r="BB111" s="359"/>
      <c r="BC111" s="359"/>
      <c r="BD111" s="315"/>
      <c r="BE111" s="359"/>
      <c r="BF111" s="359"/>
      <c r="BG111" s="359"/>
      <c r="BH111" s="359"/>
      <c r="BI111" s="360"/>
      <c r="BJ111" s="306"/>
      <c r="BK111" s="307"/>
      <c r="BL111" s="309"/>
      <c r="BM111" s="309"/>
      <c r="BN111" s="310"/>
      <c r="BO111" s="310"/>
      <c r="BP111" s="307"/>
      <c r="BQ111" s="309"/>
      <c r="BR111" s="309"/>
      <c r="BS111" s="313">
        <v>3</v>
      </c>
      <c r="BT111" s="259">
        <f t="shared" si="8"/>
        <v>3</v>
      </c>
      <c r="BU111" s="373"/>
      <c r="BV111" s="50"/>
      <c r="BW111" s="49"/>
      <c r="BZ111" s="47"/>
      <c r="CA111" s="47"/>
      <c r="CB111" s="47"/>
      <c r="CC111" s="47"/>
    </row>
    <row r="112" spans="2:81" ht="37.5">
      <c r="B112" s="479" t="s">
        <v>498</v>
      </c>
      <c r="C112" s="351" t="s">
        <v>96</v>
      </c>
      <c r="D112" s="237"/>
      <c r="E112" s="365"/>
      <c r="F112" s="237">
        <f>SUM(L112,Q112,V112,AA112,AF112,AK112,AP112,AU112,AZ112,BE112,BJ112,BO112)</f>
        <v>45</v>
      </c>
      <c r="G112" s="243">
        <f>SUM(H112:K112)</f>
        <v>30</v>
      </c>
      <c r="H112" s="264">
        <f>SUM(N112,S112,X112,AC112,AH112,AM112,AR112,AW112,BB112,BG112,BL112,BQ112)</f>
        <v>0</v>
      </c>
      <c r="I112" s="263"/>
      <c r="J112" s="242">
        <f>SUM(O112,T112,Y112,AD112,AI112,AN112,AS112,AX112,BC112,BH112,BM112,BR112)</f>
        <v>30</v>
      </c>
      <c r="K112" s="365"/>
      <c r="L112" s="366"/>
      <c r="M112" s="266"/>
      <c r="N112" s="266"/>
      <c r="O112" s="266"/>
      <c r="P112" s="255"/>
      <c r="Q112" s="266"/>
      <c r="R112" s="266"/>
      <c r="S112" s="266"/>
      <c r="T112" s="266"/>
      <c r="U112" s="367"/>
      <c r="V112" s="263"/>
      <c r="W112" s="263"/>
      <c r="X112" s="263"/>
      <c r="Y112" s="263"/>
      <c r="Z112" s="242"/>
      <c r="AA112" s="263"/>
      <c r="AB112" s="266"/>
      <c r="AC112" s="266"/>
      <c r="AD112" s="266"/>
      <c r="AE112" s="250"/>
      <c r="AF112" s="368"/>
      <c r="AG112" s="266"/>
      <c r="AH112" s="266"/>
      <c r="AI112" s="266"/>
      <c r="AJ112" s="255"/>
      <c r="AK112" s="266"/>
      <c r="AL112" s="266"/>
      <c r="AM112" s="266"/>
      <c r="AN112" s="266"/>
      <c r="AO112" s="250"/>
      <c r="AP112" s="368"/>
      <c r="AQ112" s="266"/>
      <c r="AR112" s="266"/>
      <c r="AS112" s="266"/>
      <c r="AT112" s="255"/>
      <c r="AU112" s="266"/>
      <c r="AV112" s="266"/>
      <c r="AW112" s="266"/>
      <c r="AX112" s="266"/>
      <c r="AY112" s="250"/>
      <c r="AZ112" s="368"/>
      <c r="BA112" s="266"/>
      <c r="BB112" s="266"/>
      <c r="BC112" s="266"/>
      <c r="BD112" s="255"/>
      <c r="BE112" s="266"/>
      <c r="BF112" s="266"/>
      <c r="BG112" s="266"/>
      <c r="BH112" s="266"/>
      <c r="BI112" s="367"/>
      <c r="BJ112" s="263"/>
      <c r="BK112" s="263"/>
      <c r="BL112" s="268"/>
      <c r="BM112" s="268"/>
      <c r="BN112" s="242"/>
      <c r="BO112" s="242">
        <v>45</v>
      </c>
      <c r="BP112" s="263">
        <f>SUM(BQ112:BR112)</f>
        <v>30</v>
      </c>
      <c r="BQ112" s="268"/>
      <c r="BR112" s="268">
        <v>30</v>
      </c>
      <c r="BS112" s="242"/>
      <c r="BT112" s="247">
        <f t="shared" si="8"/>
        <v>0</v>
      </c>
      <c r="BU112" s="369"/>
      <c r="BV112" s="50"/>
      <c r="BW112" s="49"/>
      <c r="BZ112" s="47"/>
      <c r="CA112" s="47"/>
      <c r="CB112" s="47"/>
      <c r="CC112" s="47"/>
    </row>
    <row r="113" spans="2:81" ht="37.5">
      <c r="B113" s="479" t="s">
        <v>499</v>
      </c>
      <c r="C113" s="351" t="s">
        <v>97</v>
      </c>
      <c r="D113" s="237"/>
      <c r="E113" s="365"/>
      <c r="F113" s="237">
        <f>SUM(L113,Q113,V113,AA113,AF113,AK113,AP113,AU113,AZ113,BE113,BJ113,BO113)</f>
        <v>61</v>
      </c>
      <c r="G113" s="243">
        <f>SUM(H113:K113)</f>
        <v>42</v>
      </c>
      <c r="H113" s="264">
        <f>SUM(N113,S113,X113,AC113,AH113,AM113,AR113,AW113,BB113,BG113,BL113,BQ113)</f>
        <v>0</v>
      </c>
      <c r="I113" s="263"/>
      <c r="J113" s="242">
        <f>SUM(O113,T113,Y113,AD113,AI113,AN113,AS113,AX113,BC113,BH113,BM113,BR113)</f>
        <v>42</v>
      </c>
      <c r="K113" s="365"/>
      <c r="L113" s="366"/>
      <c r="M113" s="266"/>
      <c r="N113" s="266"/>
      <c r="O113" s="266"/>
      <c r="P113" s="255"/>
      <c r="Q113" s="266"/>
      <c r="R113" s="266"/>
      <c r="S113" s="266"/>
      <c r="T113" s="266"/>
      <c r="U113" s="367"/>
      <c r="V113" s="263"/>
      <c r="W113" s="263"/>
      <c r="X113" s="263"/>
      <c r="Y113" s="263"/>
      <c r="Z113" s="242"/>
      <c r="AA113" s="263"/>
      <c r="AB113" s="266"/>
      <c r="AC113" s="266"/>
      <c r="AD113" s="266"/>
      <c r="AE113" s="250"/>
      <c r="AF113" s="368"/>
      <c r="AG113" s="266"/>
      <c r="AH113" s="266"/>
      <c r="AI113" s="266"/>
      <c r="AJ113" s="255"/>
      <c r="AK113" s="266"/>
      <c r="AL113" s="266"/>
      <c r="AM113" s="266"/>
      <c r="AN113" s="266"/>
      <c r="AO113" s="250"/>
      <c r="AP113" s="368"/>
      <c r="AQ113" s="266"/>
      <c r="AR113" s="266"/>
      <c r="AS113" s="266"/>
      <c r="AT113" s="255"/>
      <c r="AU113" s="266"/>
      <c r="AV113" s="266"/>
      <c r="AW113" s="266"/>
      <c r="AX113" s="266"/>
      <c r="AY113" s="250"/>
      <c r="AZ113" s="368"/>
      <c r="BA113" s="266"/>
      <c r="BB113" s="266"/>
      <c r="BC113" s="266"/>
      <c r="BD113" s="255"/>
      <c r="BE113" s="266"/>
      <c r="BF113" s="266"/>
      <c r="BG113" s="266"/>
      <c r="BH113" s="266"/>
      <c r="BI113" s="367"/>
      <c r="BJ113" s="263"/>
      <c r="BK113" s="263"/>
      <c r="BL113" s="268"/>
      <c r="BM113" s="268"/>
      <c r="BN113" s="242"/>
      <c r="BO113" s="242">
        <v>61</v>
      </c>
      <c r="BP113" s="263">
        <f>SUM(BQ113:BR113)</f>
        <v>42</v>
      </c>
      <c r="BQ113" s="268"/>
      <c r="BR113" s="268">
        <v>42</v>
      </c>
      <c r="BS113" s="242"/>
      <c r="BT113" s="247">
        <f t="shared" si="8"/>
        <v>0</v>
      </c>
      <c r="BU113" s="369"/>
      <c r="BV113" s="50"/>
      <c r="BW113" s="49"/>
      <c r="BZ113" s="47"/>
      <c r="CA113" s="47"/>
      <c r="CB113" s="47"/>
      <c r="CC113" s="47"/>
    </row>
    <row r="114" spans="2:81" ht="46.5" customHeight="1">
      <c r="B114" s="479" t="s">
        <v>500</v>
      </c>
      <c r="C114" s="351" t="s">
        <v>401</v>
      </c>
      <c r="D114" s="237"/>
      <c r="E114" s="365"/>
      <c r="F114" s="237">
        <f>SUM(L114,Q114,V114,AA114,AF114,AK114,AP114,AU114,AZ114,BE114,BJ114,BO114)</f>
        <v>32</v>
      </c>
      <c r="G114" s="243">
        <f>SUM(H114:K114)</f>
        <v>21</v>
      </c>
      <c r="H114" s="264"/>
      <c r="I114" s="242"/>
      <c r="J114" s="242">
        <f>SUM(O114,T114,Y114,AD114,AI114,AN114,AS114,AX114,BC114,BH114,BM114,BR114)</f>
        <v>21</v>
      </c>
      <c r="K114" s="365"/>
      <c r="L114" s="366"/>
      <c r="M114" s="266"/>
      <c r="N114" s="266"/>
      <c r="O114" s="266"/>
      <c r="P114" s="255"/>
      <c r="Q114" s="266"/>
      <c r="R114" s="266"/>
      <c r="S114" s="266"/>
      <c r="T114" s="266"/>
      <c r="U114" s="367"/>
      <c r="V114" s="263"/>
      <c r="W114" s="263"/>
      <c r="X114" s="263"/>
      <c r="Y114" s="263"/>
      <c r="Z114" s="242"/>
      <c r="AA114" s="263"/>
      <c r="AB114" s="266"/>
      <c r="AC114" s="266"/>
      <c r="AD114" s="266"/>
      <c r="AE114" s="250"/>
      <c r="AF114" s="368"/>
      <c r="AG114" s="266"/>
      <c r="AH114" s="266"/>
      <c r="AI114" s="266"/>
      <c r="AJ114" s="255"/>
      <c r="AK114" s="266"/>
      <c r="AL114" s="266"/>
      <c r="AM114" s="266"/>
      <c r="AN114" s="266"/>
      <c r="AO114" s="250"/>
      <c r="AP114" s="368"/>
      <c r="AQ114" s="266"/>
      <c r="AR114" s="266"/>
      <c r="AS114" s="266"/>
      <c r="AT114" s="255"/>
      <c r="AU114" s="266"/>
      <c r="AV114" s="266"/>
      <c r="AW114" s="266"/>
      <c r="AX114" s="266"/>
      <c r="AY114" s="250"/>
      <c r="AZ114" s="368"/>
      <c r="BA114" s="266"/>
      <c r="BB114" s="266"/>
      <c r="BC114" s="266"/>
      <c r="BD114" s="255"/>
      <c r="BE114" s="266"/>
      <c r="BF114" s="266"/>
      <c r="BG114" s="266"/>
      <c r="BH114" s="266"/>
      <c r="BI114" s="367"/>
      <c r="BJ114" s="263"/>
      <c r="BK114" s="263"/>
      <c r="BL114" s="268"/>
      <c r="BM114" s="268"/>
      <c r="BN114" s="242"/>
      <c r="BO114" s="242">
        <v>32</v>
      </c>
      <c r="BP114" s="263">
        <f>SUM(BQ114:BR114)</f>
        <v>21</v>
      </c>
      <c r="BQ114" s="268"/>
      <c r="BR114" s="268">
        <v>21</v>
      </c>
      <c r="BS114" s="242"/>
      <c r="BT114" s="247">
        <f t="shared" si="8"/>
        <v>0</v>
      </c>
      <c r="BU114" s="369"/>
      <c r="BV114" s="50"/>
      <c r="BW114" s="49"/>
      <c r="BZ114" s="47"/>
      <c r="CA114" s="47"/>
      <c r="CB114" s="47"/>
      <c r="CC114" s="47"/>
    </row>
    <row r="115" spans="2:81" ht="43.5" customHeight="1">
      <c r="B115" s="479" t="s">
        <v>501</v>
      </c>
      <c r="C115" s="374" t="s">
        <v>232</v>
      </c>
      <c r="D115" s="237"/>
      <c r="E115" s="365">
        <v>12</v>
      </c>
      <c r="F115" s="237">
        <f t="shared" si="22"/>
        <v>104</v>
      </c>
      <c r="G115" s="243">
        <f t="shared" si="23"/>
        <v>56</v>
      </c>
      <c r="H115" s="264">
        <f t="shared" si="24"/>
        <v>0</v>
      </c>
      <c r="I115" s="263"/>
      <c r="J115" s="242">
        <f t="shared" si="25"/>
        <v>56</v>
      </c>
      <c r="K115" s="365"/>
      <c r="L115" s="366"/>
      <c r="M115" s="266"/>
      <c r="N115" s="266"/>
      <c r="O115" s="266"/>
      <c r="P115" s="255"/>
      <c r="Q115" s="266"/>
      <c r="R115" s="266"/>
      <c r="S115" s="266"/>
      <c r="T115" s="266"/>
      <c r="U115" s="367"/>
      <c r="V115" s="263"/>
      <c r="W115" s="263"/>
      <c r="X115" s="263"/>
      <c r="Y115" s="263"/>
      <c r="Z115" s="242"/>
      <c r="AA115" s="263"/>
      <c r="AB115" s="266"/>
      <c r="AC115" s="266"/>
      <c r="AD115" s="266"/>
      <c r="AE115" s="250"/>
      <c r="AF115" s="368"/>
      <c r="AG115" s="266"/>
      <c r="AH115" s="266"/>
      <c r="AI115" s="266"/>
      <c r="AJ115" s="255"/>
      <c r="AK115" s="266"/>
      <c r="AL115" s="266"/>
      <c r="AM115" s="266"/>
      <c r="AN115" s="266"/>
      <c r="AO115" s="250"/>
      <c r="AP115" s="368"/>
      <c r="AQ115" s="266"/>
      <c r="AR115" s="266"/>
      <c r="AS115" s="266"/>
      <c r="AT115" s="255"/>
      <c r="AU115" s="266"/>
      <c r="AV115" s="266"/>
      <c r="AW115" s="266"/>
      <c r="AX115" s="266"/>
      <c r="AY115" s="250"/>
      <c r="AZ115" s="368"/>
      <c r="BA115" s="266"/>
      <c r="BB115" s="266"/>
      <c r="BC115" s="266"/>
      <c r="BD115" s="255"/>
      <c r="BE115" s="266"/>
      <c r="BF115" s="266"/>
      <c r="BG115" s="266"/>
      <c r="BH115" s="266"/>
      <c r="BI115" s="367"/>
      <c r="BJ115" s="263"/>
      <c r="BK115" s="263"/>
      <c r="BL115" s="268"/>
      <c r="BM115" s="268"/>
      <c r="BN115" s="242"/>
      <c r="BO115" s="242">
        <v>104</v>
      </c>
      <c r="BP115" s="263">
        <f>SUM(BQ115:BR115)</f>
        <v>56</v>
      </c>
      <c r="BQ115" s="268"/>
      <c r="BR115" s="268">
        <v>56</v>
      </c>
      <c r="BS115" s="242">
        <v>3</v>
      </c>
      <c r="BT115" s="247">
        <f t="shared" si="8"/>
        <v>3</v>
      </c>
      <c r="BU115" s="369"/>
      <c r="BV115" s="50"/>
      <c r="BW115" s="49"/>
      <c r="BZ115" s="47"/>
      <c r="CA115" s="47"/>
      <c r="CB115" s="47"/>
      <c r="CC115" s="47"/>
    </row>
    <row r="116" spans="2:81" ht="42.75" customHeight="1" thickBot="1">
      <c r="B116" s="479" t="s">
        <v>502</v>
      </c>
      <c r="C116" s="351" t="s">
        <v>76</v>
      </c>
      <c r="D116" s="237"/>
      <c r="E116" s="365">
        <v>12</v>
      </c>
      <c r="F116" s="237">
        <f t="shared" si="22"/>
        <v>89</v>
      </c>
      <c r="G116" s="243">
        <f t="shared" si="23"/>
        <v>56</v>
      </c>
      <c r="H116" s="264">
        <f t="shared" si="24"/>
        <v>0</v>
      </c>
      <c r="I116" s="263"/>
      <c r="J116" s="242">
        <f t="shared" si="25"/>
        <v>56</v>
      </c>
      <c r="K116" s="365"/>
      <c r="L116" s="366"/>
      <c r="M116" s="266"/>
      <c r="N116" s="266"/>
      <c r="O116" s="266"/>
      <c r="P116" s="255"/>
      <c r="Q116" s="266"/>
      <c r="R116" s="266"/>
      <c r="S116" s="266"/>
      <c r="T116" s="266"/>
      <c r="U116" s="367"/>
      <c r="V116" s="263"/>
      <c r="W116" s="263"/>
      <c r="X116" s="263"/>
      <c r="Y116" s="263"/>
      <c r="Z116" s="242"/>
      <c r="AA116" s="263"/>
      <c r="AB116" s="266"/>
      <c r="AC116" s="266"/>
      <c r="AD116" s="266"/>
      <c r="AE116" s="250"/>
      <c r="AF116" s="368"/>
      <c r="AG116" s="266"/>
      <c r="AH116" s="266"/>
      <c r="AI116" s="266"/>
      <c r="AJ116" s="255"/>
      <c r="AK116" s="266"/>
      <c r="AL116" s="266"/>
      <c r="AM116" s="266"/>
      <c r="AN116" s="266"/>
      <c r="AO116" s="250"/>
      <c r="AP116" s="368"/>
      <c r="AQ116" s="266"/>
      <c r="AR116" s="266"/>
      <c r="AS116" s="266"/>
      <c r="AT116" s="255"/>
      <c r="AU116" s="266"/>
      <c r="AV116" s="266"/>
      <c r="AW116" s="266"/>
      <c r="AX116" s="266"/>
      <c r="AY116" s="250"/>
      <c r="AZ116" s="368"/>
      <c r="BA116" s="266"/>
      <c r="BB116" s="266"/>
      <c r="BC116" s="266"/>
      <c r="BD116" s="255"/>
      <c r="BE116" s="266"/>
      <c r="BF116" s="266"/>
      <c r="BG116" s="266"/>
      <c r="BH116" s="266"/>
      <c r="BI116" s="367"/>
      <c r="BJ116" s="263"/>
      <c r="BK116" s="263"/>
      <c r="BL116" s="268"/>
      <c r="BM116" s="268"/>
      <c r="BN116" s="242"/>
      <c r="BO116" s="242">
        <v>89</v>
      </c>
      <c r="BP116" s="263">
        <f>SUM(BQ116:BR116)</f>
        <v>56</v>
      </c>
      <c r="BQ116" s="268"/>
      <c r="BR116" s="268">
        <v>56</v>
      </c>
      <c r="BS116" s="242">
        <v>3</v>
      </c>
      <c r="BT116" s="247">
        <f t="shared" si="8"/>
        <v>3</v>
      </c>
      <c r="BU116" s="369"/>
      <c r="BV116" s="50"/>
      <c r="BW116" s="49"/>
      <c r="BZ116" s="47"/>
      <c r="CA116" s="47"/>
      <c r="CB116" s="47"/>
      <c r="CC116" s="47"/>
    </row>
    <row r="117" spans="1:73" ht="39">
      <c r="A117" s="172"/>
      <c r="B117" s="482" t="s">
        <v>609</v>
      </c>
      <c r="C117" s="375" t="s">
        <v>142</v>
      </c>
      <c r="D117" s="376"/>
      <c r="E117" s="377"/>
      <c r="F117" s="378"/>
      <c r="G117" s="379"/>
      <c r="H117" s="378"/>
      <c r="I117" s="380"/>
      <c r="J117" s="380"/>
      <c r="K117" s="379"/>
      <c r="L117" s="378"/>
      <c r="M117" s="380"/>
      <c r="N117" s="380"/>
      <c r="O117" s="380"/>
      <c r="P117" s="381"/>
      <c r="Q117" s="380"/>
      <c r="R117" s="380"/>
      <c r="S117" s="380"/>
      <c r="T117" s="380"/>
      <c r="U117" s="379"/>
      <c r="V117" s="382"/>
      <c r="W117" s="380"/>
      <c r="X117" s="380"/>
      <c r="Y117" s="380"/>
      <c r="Z117" s="381"/>
      <c r="AA117" s="380"/>
      <c r="AB117" s="380"/>
      <c r="AC117" s="381"/>
      <c r="AD117" s="380"/>
      <c r="AE117" s="379"/>
      <c r="AF117" s="382"/>
      <c r="AG117" s="380"/>
      <c r="AH117" s="380"/>
      <c r="AI117" s="380"/>
      <c r="AJ117" s="381"/>
      <c r="AK117" s="380"/>
      <c r="AL117" s="380"/>
      <c r="AM117" s="380"/>
      <c r="AN117" s="380"/>
      <c r="AO117" s="379"/>
      <c r="AP117" s="382"/>
      <c r="AQ117" s="380"/>
      <c r="AR117" s="380"/>
      <c r="AS117" s="380"/>
      <c r="AT117" s="381"/>
      <c r="AU117" s="380"/>
      <c r="AV117" s="380"/>
      <c r="AW117" s="380"/>
      <c r="AX117" s="380"/>
      <c r="AY117" s="379"/>
      <c r="AZ117" s="382"/>
      <c r="BA117" s="380"/>
      <c r="BB117" s="380"/>
      <c r="BC117" s="380"/>
      <c r="BD117" s="381"/>
      <c r="BE117" s="380"/>
      <c r="BF117" s="380"/>
      <c r="BG117" s="380"/>
      <c r="BH117" s="380"/>
      <c r="BI117" s="379"/>
      <c r="BJ117" s="382"/>
      <c r="BK117" s="380"/>
      <c r="BL117" s="380"/>
      <c r="BM117" s="380"/>
      <c r="BN117" s="381"/>
      <c r="BO117" s="380"/>
      <c r="BP117" s="380"/>
      <c r="BQ117" s="380"/>
      <c r="BR117" s="380"/>
      <c r="BS117" s="379"/>
      <c r="BT117" s="383"/>
      <c r="BU117" s="384"/>
    </row>
    <row r="118" spans="1:73" ht="68.25" customHeight="1">
      <c r="A118" s="172"/>
      <c r="B118" s="483" t="s">
        <v>296</v>
      </c>
      <c r="C118" s="317" t="s">
        <v>534</v>
      </c>
      <c r="D118" s="237"/>
      <c r="E118" s="244" t="s">
        <v>181</v>
      </c>
      <c r="F118" s="242" t="s">
        <v>183</v>
      </c>
      <c r="G118" s="385" t="s">
        <v>509</v>
      </c>
      <c r="H118" s="264">
        <f>SUM(N118,S118,X118,AC118,AH118,AM118,AR118,AW118,BB118,BG118,BL118,BQ118)</f>
        <v>0</v>
      </c>
      <c r="I118" s="263"/>
      <c r="J118" s="385" t="s">
        <v>509</v>
      </c>
      <c r="K118" s="267"/>
      <c r="L118" s="237"/>
      <c r="M118" s="263"/>
      <c r="N118" s="268"/>
      <c r="O118" s="268"/>
      <c r="P118" s="242"/>
      <c r="Q118" s="242"/>
      <c r="R118" s="263"/>
      <c r="S118" s="268"/>
      <c r="T118" s="268"/>
      <c r="U118" s="386"/>
      <c r="V118" s="263"/>
      <c r="W118" s="263"/>
      <c r="X118" s="268"/>
      <c r="Y118" s="268"/>
      <c r="Z118" s="242"/>
      <c r="AA118" s="242"/>
      <c r="AB118" s="263"/>
      <c r="AC118" s="268"/>
      <c r="AD118" s="268"/>
      <c r="AE118" s="244"/>
      <c r="AF118" s="260"/>
      <c r="AG118" s="263"/>
      <c r="AH118" s="268"/>
      <c r="AI118" s="268"/>
      <c r="AJ118" s="242"/>
      <c r="AK118" s="242"/>
      <c r="AL118" s="263"/>
      <c r="AM118" s="268"/>
      <c r="AN118" s="268"/>
      <c r="AO118" s="244"/>
      <c r="AP118" s="260"/>
      <c r="AQ118" s="263"/>
      <c r="AR118" s="268"/>
      <c r="AS118" s="268"/>
      <c r="AT118" s="242"/>
      <c r="AU118" s="242"/>
      <c r="AV118" s="263"/>
      <c r="AW118" s="268"/>
      <c r="AX118" s="268"/>
      <c r="AY118" s="244"/>
      <c r="AZ118" s="260"/>
      <c r="BA118" s="263"/>
      <c r="BB118" s="268"/>
      <c r="BC118" s="268"/>
      <c r="BD118" s="242"/>
      <c r="BE118" s="242" t="s">
        <v>183</v>
      </c>
      <c r="BF118" s="268" t="s">
        <v>509</v>
      </c>
      <c r="BG118" s="268"/>
      <c r="BH118" s="268" t="s">
        <v>509</v>
      </c>
      <c r="BI118" s="250"/>
      <c r="BJ118" s="242"/>
      <c r="BK118" s="263"/>
      <c r="BL118" s="268"/>
      <c r="BM118" s="268"/>
      <c r="BN118" s="242"/>
      <c r="BO118" s="242"/>
      <c r="BP118" s="268"/>
      <c r="BQ118" s="268"/>
      <c r="BR118" s="268"/>
      <c r="BS118" s="242"/>
      <c r="BT118" s="247">
        <f aca="true" t="shared" si="26" ref="BT118:BT125">SUM(P118,U118,Z118,AE118,AJ118,AO118,AT118,AY118,BD118,BI118,BN118,BS118)</f>
        <v>0</v>
      </c>
      <c r="BU118" s="248" t="s">
        <v>505</v>
      </c>
    </row>
    <row r="119" spans="2:74" ht="62.25" customHeight="1">
      <c r="B119" s="483" t="s">
        <v>611</v>
      </c>
      <c r="C119" s="387" t="s">
        <v>535</v>
      </c>
      <c r="D119" s="366"/>
      <c r="E119" s="365" t="s">
        <v>176</v>
      </c>
      <c r="F119" s="237" t="s">
        <v>177</v>
      </c>
      <c r="G119" s="265" t="s">
        <v>178</v>
      </c>
      <c r="H119" s="264" t="s">
        <v>182</v>
      </c>
      <c r="I119" s="263"/>
      <c r="J119" s="263"/>
      <c r="K119" s="267" t="s">
        <v>182</v>
      </c>
      <c r="L119" s="388"/>
      <c r="M119" s="266"/>
      <c r="N119" s="389"/>
      <c r="O119" s="389"/>
      <c r="P119" s="255"/>
      <c r="Q119" s="255"/>
      <c r="R119" s="266"/>
      <c r="S119" s="389"/>
      <c r="T119" s="389"/>
      <c r="U119" s="250"/>
      <c r="V119" s="355" t="s">
        <v>177</v>
      </c>
      <c r="W119" s="266" t="s">
        <v>178</v>
      </c>
      <c r="X119" s="389" t="s">
        <v>182</v>
      </c>
      <c r="Y119" s="389" t="s">
        <v>182</v>
      </c>
      <c r="Z119" s="255"/>
      <c r="AA119" s="255"/>
      <c r="AB119" s="266"/>
      <c r="AC119" s="389"/>
      <c r="AD119" s="389"/>
      <c r="AE119" s="250"/>
      <c r="AF119" s="355"/>
      <c r="AG119" s="266"/>
      <c r="AH119" s="389"/>
      <c r="AI119" s="389"/>
      <c r="AJ119" s="255"/>
      <c r="AK119" s="255"/>
      <c r="AL119" s="266"/>
      <c r="AM119" s="389"/>
      <c r="AN119" s="389"/>
      <c r="AO119" s="250"/>
      <c r="AP119" s="355"/>
      <c r="AQ119" s="266"/>
      <c r="AR119" s="389"/>
      <c r="AS119" s="389"/>
      <c r="AT119" s="255"/>
      <c r="AU119" s="255"/>
      <c r="AV119" s="266"/>
      <c r="AW119" s="389"/>
      <c r="AX119" s="389"/>
      <c r="AY119" s="250"/>
      <c r="AZ119" s="355"/>
      <c r="BA119" s="266"/>
      <c r="BB119" s="389"/>
      <c r="BC119" s="389"/>
      <c r="BD119" s="255"/>
      <c r="BE119" s="255"/>
      <c r="BF119" s="266"/>
      <c r="BG119" s="389"/>
      <c r="BH119" s="389"/>
      <c r="BI119" s="250"/>
      <c r="BJ119" s="355"/>
      <c r="BK119" s="266"/>
      <c r="BL119" s="389"/>
      <c r="BM119" s="389"/>
      <c r="BN119" s="255"/>
      <c r="BO119" s="255"/>
      <c r="BP119" s="266"/>
      <c r="BQ119" s="389"/>
      <c r="BR119" s="389"/>
      <c r="BS119" s="250"/>
      <c r="BT119" s="247">
        <f t="shared" si="26"/>
        <v>0</v>
      </c>
      <c r="BU119" s="248" t="s">
        <v>562</v>
      </c>
      <c r="BV119" s="55"/>
    </row>
    <row r="120" spans="2:73" ht="25.5" customHeight="1" thickBot="1">
      <c r="B120" s="484" t="s">
        <v>612</v>
      </c>
      <c r="C120" s="390" t="s">
        <v>99</v>
      </c>
      <c r="D120" s="391"/>
      <c r="E120" s="392"/>
      <c r="F120" s="393" t="s">
        <v>436</v>
      </c>
      <c r="G120" s="392" t="s">
        <v>436</v>
      </c>
      <c r="H120" s="393"/>
      <c r="I120" s="394"/>
      <c r="J120" s="394" t="s">
        <v>436</v>
      </c>
      <c r="K120" s="395"/>
      <c r="L120" s="396"/>
      <c r="M120" s="397"/>
      <c r="N120" s="397"/>
      <c r="O120" s="397"/>
      <c r="P120" s="398"/>
      <c r="Q120" s="397"/>
      <c r="R120" s="397"/>
      <c r="S120" s="399"/>
      <c r="T120" s="399"/>
      <c r="U120" s="400"/>
      <c r="V120" s="396"/>
      <c r="W120" s="397"/>
      <c r="X120" s="397"/>
      <c r="Y120" s="397"/>
      <c r="Z120" s="398"/>
      <c r="AA120" s="397"/>
      <c r="AB120" s="397"/>
      <c r="AC120" s="398"/>
      <c r="AD120" s="397"/>
      <c r="AE120" s="400"/>
      <c r="AF120" s="401" t="s">
        <v>140</v>
      </c>
      <c r="AG120" s="402" t="s">
        <v>140</v>
      </c>
      <c r="AH120" s="403"/>
      <c r="AI120" s="403" t="s">
        <v>140</v>
      </c>
      <c r="AJ120" s="404"/>
      <c r="AK120" s="402" t="s">
        <v>141</v>
      </c>
      <c r="AL120" s="402" t="s">
        <v>141</v>
      </c>
      <c r="AM120" s="403"/>
      <c r="AN120" s="403" t="s">
        <v>141</v>
      </c>
      <c r="AO120" s="405"/>
      <c r="AP120" s="401" t="s">
        <v>140</v>
      </c>
      <c r="AQ120" s="402" t="s">
        <v>140</v>
      </c>
      <c r="AR120" s="403"/>
      <c r="AS120" s="403" t="s">
        <v>141</v>
      </c>
      <c r="AT120" s="404"/>
      <c r="AU120" s="402" t="s">
        <v>178</v>
      </c>
      <c r="AV120" s="402" t="s">
        <v>178</v>
      </c>
      <c r="AW120" s="403"/>
      <c r="AX120" s="403" t="s">
        <v>141</v>
      </c>
      <c r="AY120" s="406"/>
      <c r="AZ120" s="407" t="s">
        <v>146</v>
      </c>
      <c r="BA120" s="407" t="s">
        <v>146</v>
      </c>
      <c r="BB120" s="399"/>
      <c r="BC120" s="399"/>
      <c r="BD120" s="404"/>
      <c r="BE120" s="407" t="s">
        <v>435</v>
      </c>
      <c r="BF120" s="407" t="s">
        <v>435</v>
      </c>
      <c r="BG120" s="403"/>
      <c r="BH120" s="403"/>
      <c r="BI120" s="405"/>
      <c r="BJ120" s="408"/>
      <c r="BK120" s="397"/>
      <c r="BL120" s="397"/>
      <c r="BM120" s="397"/>
      <c r="BN120" s="398"/>
      <c r="BO120" s="397"/>
      <c r="BP120" s="397"/>
      <c r="BQ120" s="409"/>
      <c r="BR120" s="409"/>
      <c r="BS120" s="410"/>
      <c r="BT120" s="411">
        <f t="shared" si="26"/>
        <v>0</v>
      </c>
      <c r="BU120" s="412"/>
    </row>
    <row r="121" spans="2:73" ht="39.75" thickBot="1">
      <c r="B121" s="485" t="s">
        <v>610</v>
      </c>
      <c r="C121" s="413" t="s">
        <v>127</v>
      </c>
      <c r="D121" s="414"/>
      <c r="E121" s="415"/>
      <c r="F121" s="416"/>
      <c r="G121" s="417"/>
      <c r="H121" s="416"/>
      <c r="I121" s="418"/>
      <c r="J121" s="418"/>
      <c r="K121" s="417"/>
      <c r="L121" s="416"/>
      <c r="M121" s="418"/>
      <c r="N121" s="418"/>
      <c r="O121" s="418"/>
      <c r="P121" s="419"/>
      <c r="Q121" s="418"/>
      <c r="R121" s="418"/>
      <c r="S121" s="418"/>
      <c r="T121" s="418"/>
      <c r="U121" s="417"/>
      <c r="V121" s="420"/>
      <c r="W121" s="418"/>
      <c r="X121" s="418"/>
      <c r="Y121" s="418"/>
      <c r="Z121" s="419"/>
      <c r="AA121" s="418"/>
      <c r="AB121" s="418"/>
      <c r="AC121" s="419"/>
      <c r="AD121" s="418"/>
      <c r="AE121" s="417"/>
      <c r="AF121" s="420"/>
      <c r="AG121" s="418"/>
      <c r="AH121" s="418"/>
      <c r="AI121" s="418"/>
      <c r="AJ121" s="419"/>
      <c r="AK121" s="418"/>
      <c r="AL121" s="418"/>
      <c r="AM121" s="418"/>
      <c r="AN121" s="418"/>
      <c r="AO121" s="417"/>
      <c r="AP121" s="420"/>
      <c r="AQ121" s="418"/>
      <c r="AR121" s="418"/>
      <c r="AS121" s="418"/>
      <c r="AT121" s="419"/>
      <c r="AU121" s="418"/>
      <c r="AV121" s="418"/>
      <c r="AW121" s="418"/>
      <c r="AX121" s="418"/>
      <c r="AY121" s="417"/>
      <c r="AZ121" s="420"/>
      <c r="BA121" s="418"/>
      <c r="BB121" s="418"/>
      <c r="BC121" s="418"/>
      <c r="BD121" s="419"/>
      <c r="BE121" s="418"/>
      <c r="BF121" s="418"/>
      <c r="BG121" s="418"/>
      <c r="BH121" s="418"/>
      <c r="BI121" s="417"/>
      <c r="BJ121" s="420"/>
      <c r="BK121" s="418"/>
      <c r="BL121" s="418"/>
      <c r="BM121" s="418"/>
      <c r="BN121" s="419"/>
      <c r="BO121" s="418"/>
      <c r="BP121" s="418"/>
      <c r="BQ121" s="418"/>
      <c r="BR121" s="418"/>
      <c r="BS121" s="417"/>
      <c r="BT121" s="421"/>
      <c r="BU121" s="422"/>
    </row>
    <row r="122" spans="2:73" ht="63.75" customHeight="1">
      <c r="B122" s="479" t="s">
        <v>613</v>
      </c>
      <c r="C122" s="236" t="s">
        <v>536</v>
      </c>
      <c r="D122" s="264"/>
      <c r="E122" s="267" t="s">
        <v>148</v>
      </c>
      <c r="F122" s="237" t="s">
        <v>183</v>
      </c>
      <c r="G122" s="263" t="s">
        <v>178</v>
      </c>
      <c r="H122" s="264" t="s">
        <v>182</v>
      </c>
      <c r="I122" s="263"/>
      <c r="J122" s="263"/>
      <c r="K122" s="267" t="s">
        <v>182</v>
      </c>
      <c r="L122" s="237" t="s">
        <v>183</v>
      </c>
      <c r="M122" s="263" t="s">
        <v>178</v>
      </c>
      <c r="N122" s="268" t="s">
        <v>182</v>
      </c>
      <c r="O122" s="268" t="s">
        <v>182</v>
      </c>
      <c r="P122" s="242"/>
      <c r="Q122" s="263"/>
      <c r="R122" s="263"/>
      <c r="S122" s="268"/>
      <c r="T122" s="268"/>
      <c r="U122" s="244">
        <f>Q122/36</f>
        <v>0</v>
      </c>
      <c r="V122" s="260">
        <f>W122*1.6</f>
        <v>0</v>
      </c>
      <c r="W122" s="263">
        <f>SUM(X122:Y122)</f>
        <v>0</v>
      </c>
      <c r="X122" s="268"/>
      <c r="Y122" s="268"/>
      <c r="Z122" s="423">
        <f>V122/36</f>
        <v>0</v>
      </c>
      <c r="AA122" s="263"/>
      <c r="AB122" s="263"/>
      <c r="AC122" s="268"/>
      <c r="AD122" s="268"/>
      <c r="AE122" s="244"/>
      <c r="AF122" s="269"/>
      <c r="AG122" s="263"/>
      <c r="AH122" s="268"/>
      <c r="AI122" s="268"/>
      <c r="AJ122" s="242"/>
      <c r="AK122" s="263"/>
      <c r="AL122" s="263"/>
      <c r="AM122" s="268"/>
      <c r="AN122" s="268"/>
      <c r="AO122" s="244"/>
      <c r="AP122" s="269"/>
      <c r="AQ122" s="263"/>
      <c r="AR122" s="268"/>
      <c r="AS122" s="268"/>
      <c r="AT122" s="242"/>
      <c r="AU122" s="263"/>
      <c r="AV122" s="263"/>
      <c r="AW122" s="268"/>
      <c r="AX122" s="268"/>
      <c r="AY122" s="244"/>
      <c r="AZ122" s="269"/>
      <c r="BA122" s="263"/>
      <c r="BB122" s="268"/>
      <c r="BC122" s="268"/>
      <c r="BD122" s="242"/>
      <c r="BE122" s="263"/>
      <c r="BF122" s="263"/>
      <c r="BG122" s="268"/>
      <c r="BH122" s="268"/>
      <c r="BI122" s="244"/>
      <c r="BJ122" s="269"/>
      <c r="BK122" s="263"/>
      <c r="BL122" s="268"/>
      <c r="BM122" s="268"/>
      <c r="BN122" s="242"/>
      <c r="BO122" s="263"/>
      <c r="BP122" s="263"/>
      <c r="BQ122" s="268"/>
      <c r="BR122" s="268"/>
      <c r="BS122" s="244"/>
      <c r="BT122" s="424">
        <f t="shared" si="26"/>
        <v>0</v>
      </c>
      <c r="BU122" s="248" t="s">
        <v>409</v>
      </c>
    </row>
    <row r="123" spans="2:73" ht="62.25" customHeight="1">
      <c r="B123" s="479" t="s">
        <v>614</v>
      </c>
      <c r="C123" s="236" t="s">
        <v>438</v>
      </c>
      <c r="D123" s="264"/>
      <c r="E123" s="267" t="s">
        <v>148</v>
      </c>
      <c r="F123" s="237" t="s">
        <v>106</v>
      </c>
      <c r="G123" s="265" t="s">
        <v>146</v>
      </c>
      <c r="H123" s="264">
        <f>SUM(N123,S123,X123,AC123,AH123,AM123,AR123,AW123,BB123,BG123,BL123,BQ123)</f>
        <v>0</v>
      </c>
      <c r="I123" s="263"/>
      <c r="J123" s="263" t="s">
        <v>146</v>
      </c>
      <c r="K123" s="267"/>
      <c r="L123" s="263" t="s">
        <v>106</v>
      </c>
      <c r="M123" s="263" t="s">
        <v>146</v>
      </c>
      <c r="N123" s="268"/>
      <c r="O123" s="268" t="s">
        <v>146</v>
      </c>
      <c r="P123" s="242"/>
      <c r="Q123" s="263"/>
      <c r="R123" s="263"/>
      <c r="S123" s="268"/>
      <c r="T123" s="268"/>
      <c r="U123" s="244"/>
      <c r="V123" s="260">
        <f>W123*1.6</f>
        <v>0</v>
      </c>
      <c r="W123" s="263">
        <f>SUM(X123:Y123)</f>
        <v>0</v>
      </c>
      <c r="X123" s="268"/>
      <c r="Y123" s="268"/>
      <c r="Z123" s="242">
        <f>V123/36</f>
        <v>0</v>
      </c>
      <c r="AA123" s="263"/>
      <c r="AB123" s="263"/>
      <c r="AC123" s="268"/>
      <c r="AD123" s="268"/>
      <c r="AE123" s="244"/>
      <c r="AF123" s="269"/>
      <c r="AG123" s="263"/>
      <c r="AH123" s="268"/>
      <c r="AI123" s="268"/>
      <c r="AJ123" s="242"/>
      <c r="AK123" s="263"/>
      <c r="AL123" s="263"/>
      <c r="AM123" s="268"/>
      <c r="AN123" s="268"/>
      <c r="AO123" s="244"/>
      <c r="AP123" s="269"/>
      <c r="AQ123" s="263"/>
      <c r="AR123" s="268"/>
      <c r="AS123" s="268"/>
      <c r="AT123" s="242"/>
      <c r="AU123" s="263"/>
      <c r="AV123" s="263"/>
      <c r="AW123" s="268"/>
      <c r="AX123" s="268"/>
      <c r="AY123" s="244"/>
      <c r="AZ123" s="269"/>
      <c r="BA123" s="263"/>
      <c r="BB123" s="268"/>
      <c r="BC123" s="268"/>
      <c r="BD123" s="242"/>
      <c r="BE123" s="263"/>
      <c r="BF123" s="263"/>
      <c r="BG123" s="268"/>
      <c r="BH123" s="268"/>
      <c r="BI123" s="244"/>
      <c r="BJ123" s="269"/>
      <c r="BK123" s="263"/>
      <c r="BL123" s="268"/>
      <c r="BM123" s="268"/>
      <c r="BN123" s="242"/>
      <c r="BO123" s="263"/>
      <c r="BP123" s="263"/>
      <c r="BQ123" s="268"/>
      <c r="BR123" s="268"/>
      <c r="BS123" s="244"/>
      <c r="BT123" s="247">
        <f t="shared" si="26"/>
        <v>0</v>
      </c>
      <c r="BU123" s="248" t="s">
        <v>302</v>
      </c>
    </row>
    <row r="124" spans="2:73" ht="43.5" customHeight="1">
      <c r="B124" s="483" t="s">
        <v>615</v>
      </c>
      <c r="C124" s="236" t="s">
        <v>537</v>
      </c>
      <c r="D124" s="264" t="s">
        <v>218</v>
      </c>
      <c r="E124" s="267" t="s">
        <v>111</v>
      </c>
      <c r="F124" s="237" t="s">
        <v>112</v>
      </c>
      <c r="G124" s="265" t="s">
        <v>113</v>
      </c>
      <c r="H124" s="264" t="s">
        <v>114</v>
      </c>
      <c r="I124" s="486"/>
      <c r="J124" s="263" t="s">
        <v>115</v>
      </c>
      <c r="K124" s="267"/>
      <c r="L124" s="264"/>
      <c r="M124" s="263"/>
      <c r="N124" s="268"/>
      <c r="O124" s="268"/>
      <c r="P124" s="242"/>
      <c r="Q124" s="263"/>
      <c r="R124" s="263"/>
      <c r="S124" s="268"/>
      <c r="T124" s="268"/>
      <c r="U124" s="244"/>
      <c r="V124" s="260" t="s">
        <v>101</v>
      </c>
      <c r="W124" s="263" t="s">
        <v>116</v>
      </c>
      <c r="X124" s="268" t="s">
        <v>179</v>
      </c>
      <c r="Y124" s="268" t="s">
        <v>119</v>
      </c>
      <c r="Z124" s="242"/>
      <c r="AA124" s="269" t="s">
        <v>101</v>
      </c>
      <c r="AB124" s="263" t="s">
        <v>116</v>
      </c>
      <c r="AC124" s="268" t="s">
        <v>179</v>
      </c>
      <c r="AD124" s="268" t="s">
        <v>119</v>
      </c>
      <c r="AE124" s="244"/>
      <c r="AF124" s="260" t="s">
        <v>114</v>
      </c>
      <c r="AG124" s="263" t="s">
        <v>117</v>
      </c>
      <c r="AH124" s="268" t="s">
        <v>179</v>
      </c>
      <c r="AI124" s="268" t="s">
        <v>180</v>
      </c>
      <c r="AJ124" s="242"/>
      <c r="AK124" s="242" t="s">
        <v>118</v>
      </c>
      <c r="AL124" s="263" t="s">
        <v>119</v>
      </c>
      <c r="AM124" s="268" t="s">
        <v>181</v>
      </c>
      <c r="AN124" s="268" t="s">
        <v>179</v>
      </c>
      <c r="AO124" s="244"/>
      <c r="AP124" s="269"/>
      <c r="AQ124" s="263"/>
      <c r="AR124" s="268"/>
      <c r="AS124" s="268"/>
      <c r="AT124" s="242"/>
      <c r="AU124" s="263"/>
      <c r="AV124" s="263"/>
      <c r="AW124" s="268"/>
      <c r="AX124" s="268"/>
      <c r="AY124" s="244"/>
      <c r="AZ124" s="269"/>
      <c r="BA124" s="263"/>
      <c r="BB124" s="268"/>
      <c r="BC124" s="268"/>
      <c r="BD124" s="242"/>
      <c r="BE124" s="263"/>
      <c r="BF124" s="263"/>
      <c r="BG124" s="268"/>
      <c r="BH124" s="268"/>
      <c r="BI124" s="244"/>
      <c r="BJ124" s="269"/>
      <c r="BK124" s="263"/>
      <c r="BL124" s="268"/>
      <c r="BM124" s="268"/>
      <c r="BN124" s="242"/>
      <c r="BO124" s="263"/>
      <c r="BP124" s="263"/>
      <c r="BQ124" s="268"/>
      <c r="BR124" s="268"/>
      <c r="BS124" s="244"/>
      <c r="BT124" s="247">
        <f t="shared" si="26"/>
        <v>0</v>
      </c>
      <c r="BU124" s="248" t="s">
        <v>507</v>
      </c>
    </row>
    <row r="125" spans="2:73" ht="19.5">
      <c r="B125" s="487" t="s">
        <v>616</v>
      </c>
      <c r="C125" s="425" t="s">
        <v>99</v>
      </c>
      <c r="D125" s="426"/>
      <c r="E125" s="427" t="s">
        <v>437</v>
      </c>
      <c r="F125" s="426" t="s">
        <v>619</v>
      </c>
      <c r="G125" s="428" t="s">
        <v>619</v>
      </c>
      <c r="H125" s="426" t="s">
        <v>187</v>
      </c>
      <c r="I125" s="429"/>
      <c r="J125" s="429" t="s">
        <v>620</v>
      </c>
      <c r="K125" s="427"/>
      <c r="L125" s="429" t="s">
        <v>101</v>
      </c>
      <c r="M125" s="429" t="s">
        <v>101</v>
      </c>
      <c r="N125" s="430"/>
      <c r="O125" s="430" t="s">
        <v>101</v>
      </c>
      <c r="P125" s="282"/>
      <c r="Q125" s="429" t="s">
        <v>100</v>
      </c>
      <c r="R125" s="429" t="s">
        <v>100</v>
      </c>
      <c r="S125" s="430"/>
      <c r="T125" s="430" t="s">
        <v>100</v>
      </c>
      <c r="U125" s="280"/>
      <c r="V125" s="431" t="s">
        <v>101</v>
      </c>
      <c r="W125" s="429" t="s">
        <v>101</v>
      </c>
      <c r="X125" s="430"/>
      <c r="Y125" s="430" t="s">
        <v>101</v>
      </c>
      <c r="Z125" s="282"/>
      <c r="AA125" s="429" t="s">
        <v>100</v>
      </c>
      <c r="AB125" s="429" t="s">
        <v>100</v>
      </c>
      <c r="AC125" s="430"/>
      <c r="AD125" s="430" t="s">
        <v>100</v>
      </c>
      <c r="AE125" s="280"/>
      <c r="AF125" s="431" t="s">
        <v>140</v>
      </c>
      <c r="AG125" s="429" t="s">
        <v>140</v>
      </c>
      <c r="AH125" s="430"/>
      <c r="AI125" s="430" t="s">
        <v>140</v>
      </c>
      <c r="AJ125" s="282"/>
      <c r="AK125" s="429" t="s">
        <v>141</v>
      </c>
      <c r="AL125" s="429" t="s">
        <v>141</v>
      </c>
      <c r="AM125" s="430"/>
      <c r="AN125" s="430" t="s">
        <v>141</v>
      </c>
      <c r="AO125" s="280"/>
      <c r="AP125" s="431" t="s">
        <v>140</v>
      </c>
      <c r="AQ125" s="429" t="s">
        <v>140</v>
      </c>
      <c r="AR125" s="430"/>
      <c r="AS125" s="430" t="s">
        <v>141</v>
      </c>
      <c r="AT125" s="282"/>
      <c r="AU125" s="429" t="s">
        <v>178</v>
      </c>
      <c r="AV125" s="429" t="s">
        <v>178</v>
      </c>
      <c r="AW125" s="430"/>
      <c r="AX125" s="430" t="s">
        <v>141</v>
      </c>
      <c r="AY125" s="280"/>
      <c r="AZ125" s="368" t="s">
        <v>146</v>
      </c>
      <c r="BA125" s="368" t="s">
        <v>146</v>
      </c>
      <c r="BB125" s="430"/>
      <c r="BC125" s="430"/>
      <c r="BD125" s="282"/>
      <c r="BE125" s="368" t="s">
        <v>435</v>
      </c>
      <c r="BF125" s="368" t="s">
        <v>435</v>
      </c>
      <c r="BG125" s="430"/>
      <c r="BH125" s="430"/>
      <c r="BI125" s="280"/>
      <c r="BJ125" s="431"/>
      <c r="BK125" s="429"/>
      <c r="BL125" s="430"/>
      <c r="BM125" s="430"/>
      <c r="BN125" s="282"/>
      <c r="BO125" s="429"/>
      <c r="BP125" s="429"/>
      <c r="BQ125" s="430"/>
      <c r="BR125" s="430"/>
      <c r="BS125" s="280"/>
      <c r="BT125" s="432">
        <f t="shared" si="26"/>
        <v>0</v>
      </c>
      <c r="BU125" s="248" t="s">
        <v>645</v>
      </c>
    </row>
    <row r="126" spans="2:73" ht="63.75" customHeight="1">
      <c r="B126" s="479" t="s">
        <v>621</v>
      </c>
      <c r="C126" s="448" t="s">
        <v>657</v>
      </c>
      <c r="D126" s="267"/>
      <c r="E126" s="267" t="s">
        <v>639</v>
      </c>
      <c r="F126" s="264" t="s">
        <v>100</v>
      </c>
      <c r="G126" s="265" t="s">
        <v>116</v>
      </c>
      <c r="H126" s="264" t="s">
        <v>630</v>
      </c>
      <c r="I126" s="263"/>
      <c r="J126" s="263" t="s">
        <v>631</v>
      </c>
      <c r="K126" s="267"/>
      <c r="L126" s="263"/>
      <c r="M126" s="263"/>
      <c r="N126" s="268"/>
      <c r="O126" s="268"/>
      <c r="P126" s="242"/>
      <c r="Q126" s="263"/>
      <c r="R126" s="263"/>
      <c r="S126" s="268"/>
      <c r="T126" s="268"/>
      <c r="U126" s="244"/>
      <c r="V126" s="269"/>
      <c r="W126" s="263"/>
      <c r="X126" s="268"/>
      <c r="Y126" s="268"/>
      <c r="Z126" s="242"/>
      <c r="AA126" s="263"/>
      <c r="AB126" s="263"/>
      <c r="AC126" s="268"/>
      <c r="AD126" s="268"/>
      <c r="AE126" s="244"/>
      <c r="AF126" s="269"/>
      <c r="AG126" s="263"/>
      <c r="AH126" s="268"/>
      <c r="AI126" s="268"/>
      <c r="AJ126" s="242"/>
      <c r="AK126" s="263"/>
      <c r="AL126" s="263"/>
      <c r="AM126" s="268"/>
      <c r="AN126" s="268"/>
      <c r="AO126" s="244"/>
      <c r="AP126" s="269"/>
      <c r="AQ126" s="263"/>
      <c r="AR126" s="268"/>
      <c r="AS126" s="268"/>
      <c r="AT126" s="242"/>
      <c r="AU126" s="263"/>
      <c r="AV126" s="263"/>
      <c r="AW126" s="268"/>
      <c r="AX126" s="268"/>
      <c r="AY126" s="244"/>
      <c r="AZ126" s="368" t="s">
        <v>178</v>
      </c>
      <c r="BA126" s="368" t="s">
        <v>630</v>
      </c>
      <c r="BB126" s="268" t="s">
        <v>632</v>
      </c>
      <c r="BC126" s="268" t="s">
        <v>181</v>
      </c>
      <c r="BD126" s="242"/>
      <c r="BE126" s="368" t="s">
        <v>178</v>
      </c>
      <c r="BF126" s="368" t="s">
        <v>631</v>
      </c>
      <c r="BG126" s="268" t="s">
        <v>181</v>
      </c>
      <c r="BH126" s="268" t="s">
        <v>634</v>
      </c>
      <c r="BI126" s="244" t="s">
        <v>187</v>
      </c>
      <c r="BJ126" s="269"/>
      <c r="BK126" s="263"/>
      <c r="BL126" s="268"/>
      <c r="BM126" s="268"/>
      <c r="BN126" s="242"/>
      <c r="BO126" s="263"/>
      <c r="BP126" s="263"/>
      <c r="BQ126" s="268"/>
      <c r="BR126" s="268"/>
      <c r="BS126" s="244"/>
      <c r="BT126" s="247">
        <f>SUM(P126,U126,Z126,AE126,AJ126,AO126,AT126,AY126,BD126,BI126,BN126,BS126)</f>
        <v>0</v>
      </c>
      <c r="BU126" s="505" t="s">
        <v>646</v>
      </c>
    </row>
    <row r="127" spans="2:73" ht="46.5" customHeight="1">
      <c r="B127" s="493" t="s">
        <v>622</v>
      </c>
      <c r="C127" s="448" t="s">
        <v>658</v>
      </c>
      <c r="D127" s="267" t="s">
        <v>558</v>
      </c>
      <c r="E127" s="267"/>
      <c r="F127" s="264" t="s">
        <v>625</v>
      </c>
      <c r="G127" s="265" t="s">
        <v>100</v>
      </c>
      <c r="H127" s="264" t="s">
        <v>626</v>
      </c>
      <c r="I127" s="263"/>
      <c r="J127" s="263"/>
      <c r="K127" s="267" t="s">
        <v>141</v>
      </c>
      <c r="L127" s="263"/>
      <c r="M127" s="263"/>
      <c r="N127" s="268"/>
      <c r="O127" s="268"/>
      <c r="P127" s="242"/>
      <c r="Q127" s="263"/>
      <c r="R127" s="263"/>
      <c r="S127" s="268"/>
      <c r="T127" s="268"/>
      <c r="U127" s="244"/>
      <c r="V127" s="269"/>
      <c r="W127" s="263"/>
      <c r="X127" s="268"/>
      <c r="Y127" s="268"/>
      <c r="Z127" s="242"/>
      <c r="AA127" s="263"/>
      <c r="AB127" s="263"/>
      <c r="AC127" s="268"/>
      <c r="AD127" s="268"/>
      <c r="AE127" s="244"/>
      <c r="AF127" s="269"/>
      <c r="AG127" s="263"/>
      <c r="AH127" s="268"/>
      <c r="AI127" s="268"/>
      <c r="AJ127" s="242"/>
      <c r="AK127" s="263"/>
      <c r="AL127" s="263"/>
      <c r="AM127" s="268"/>
      <c r="AN127" s="268"/>
      <c r="AO127" s="244"/>
      <c r="AP127" s="269"/>
      <c r="AQ127" s="263"/>
      <c r="AR127" s="268"/>
      <c r="AS127" s="268"/>
      <c r="AT127" s="242"/>
      <c r="AU127" s="263"/>
      <c r="AV127" s="263"/>
      <c r="AW127" s="268"/>
      <c r="AX127" s="268"/>
      <c r="AY127" s="244"/>
      <c r="AZ127" s="269"/>
      <c r="BA127" s="269"/>
      <c r="BB127" s="268"/>
      <c r="BC127" s="268"/>
      <c r="BD127" s="242"/>
      <c r="BE127" s="269"/>
      <c r="BF127" s="269"/>
      <c r="BG127" s="268"/>
      <c r="BH127" s="268"/>
      <c r="BI127" s="244"/>
      <c r="BJ127" s="269" t="s">
        <v>106</v>
      </c>
      <c r="BK127" s="263" t="s">
        <v>626</v>
      </c>
      <c r="BL127" s="268" t="s">
        <v>631</v>
      </c>
      <c r="BM127" s="268" t="s">
        <v>632</v>
      </c>
      <c r="BN127" s="242"/>
      <c r="BO127" s="263" t="s">
        <v>177</v>
      </c>
      <c r="BP127" s="263" t="s">
        <v>141</v>
      </c>
      <c r="BQ127" s="268" t="s">
        <v>632</v>
      </c>
      <c r="BR127" s="268" t="s">
        <v>632</v>
      </c>
      <c r="BS127" s="244" t="s">
        <v>176</v>
      </c>
      <c r="BT127" s="247">
        <f>SUM(P127,U127,Z127,AE127,AJ127,AO127,AT127,AY127,BD127,BI127,BN127,BS127)</f>
        <v>0</v>
      </c>
      <c r="BU127" s="508" t="s">
        <v>647</v>
      </c>
    </row>
    <row r="128" spans="2:73" ht="30" customHeight="1" thickBot="1">
      <c r="B128" s="487" t="s">
        <v>623</v>
      </c>
      <c r="C128" s="494" t="s">
        <v>659</v>
      </c>
      <c r="D128" s="495" t="s">
        <v>558</v>
      </c>
      <c r="E128" s="495"/>
      <c r="F128" s="496" t="s">
        <v>628</v>
      </c>
      <c r="G128" s="497" t="s">
        <v>629</v>
      </c>
      <c r="H128" s="496"/>
      <c r="I128" s="498"/>
      <c r="J128" s="498" t="s">
        <v>629</v>
      </c>
      <c r="K128" s="495"/>
      <c r="L128" s="498"/>
      <c r="M128" s="498"/>
      <c r="N128" s="499"/>
      <c r="O128" s="499"/>
      <c r="P128" s="500"/>
      <c r="Q128" s="498"/>
      <c r="R128" s="498"/>
      <c r="S128" s="499"/>
      <c r="T128" s="499"/>
      <c r="U128" s="501"/>
      <c r="V128" s="502"/>
      <c r="W128" s="498"/>
      <c r="X128" s="499"/>
      <c r="Y128" s="499"/>
      <c r="Z128" s="500"/>
      <c r="AA128" s="498"/>
      <c r="AB128" s="498"/>
      <c r="AC128" s="499"/>
      <c r="AD128" s="499"/>
      <c r="AE128" s="501"/>
      <c r="AF128" s="502"/>
      <c r="AG128" s="498"/>
      <c r="AH128" s="499"/>
      <c r="AI128" s="499"/>
      <c r="AJ128" s="500"/>
      <c r="AK128" s="498"/>
      <c r="AL128" s="498"/>
      <c r="AM128" s="499"/>
      <c r="AN128" s="499"/>
      <c r="AO128" s="501"/>
      <c r="AP128" s="502"/>
      <c r="AQ128" s="498"/>
      <c r="AR128" s="499"/>
      <c r="AS128" s="499"/>
      <c r="AT128" s="500"/>
      <c r="AU128" s="498"/>
      <c r="AV128" s="498"/>
      <c r="AW128" s="499"/>
      <c r="AX128" s="499"/>
      <c r="AY128" s="501"/>
      <c r="AZ128" s="368"/>
      <c r="BA128" s="368"/>
      <c r="BB128" s="499"/>
      <c r="BC128" s="499"/>
      <c r="BD128" s="500"/>
      <c r="BE128" s="368"/>
      <c r="BF128" s="368"/>
      <c r="BG128" s="499"/>
      <c r="BH128" s="499"/>
      <c r="BI128" s="501"/>
      <c r="BJ128" s="502" t="s">
        <v>114</v>
      </c>
      <c r="BK128" s="498" t="s">
        <v>118</v>
      </c>
      <c r="BL128" s="499"/>
      <c r="BM128" s="499" t="s">
        <v>118</v>
      </c>
      <c r="BN128" s="500"/>
      <c r="BO128" s="498" t="s">
        <v>100</v>
      </c>
      <c r="BP128" s="498" t="s">
        <v>118</v>
      </c>
      <c r="BQ128" s="499"/>
      <c r="BR128" s="499" t="s">
        <v>118</v>
      </c>
      <c r="BS128" s="501" t="s">
        <v>633</v>
      </c>
      <c r="BT128" s="503">
        <f>SUM(P128,U128,Z128,AE128,AJ128,AO128,AT128,AY128,BD128,BI128,BN128,BS128)</f>
        <v>0</v>
      </c>
      <c r="BU128" s="504" t="s">
        <v>653</v>
      </c>
    </row>
    <row r="129" spans="2:73" s="52" customFormat="1" ht="41.25" customHeight="1">
      <c r="B129" s="573" t="s">
        <v>82</v>
      </c>
      <c r="C129" s="574"/>
      <c r="D129" s="433"/>
      <c r="E129" s="434"/>
      <c r="F129" s="435">
        <f aca="true" t="shared" si="27" ref="F129:AK129">SUM(F10,F54)</f>
        <v>12127</v>
      </c>
      <c r="G129" s="436">
        <f t="shared" si="27"/>
        <v>6616</v>
      </c>
      <c r="H129" s="437">
        <f t="shared" si="27"/>
        <v>1196</v>
      </c>
      <c r="I129" s="438">
        <f t="shared" si="27"/>
        <v>1011</v>
      </c>
      <c r="J129" s="438">
        <f t="shared" si="27"/>
        <v>4272</v>
      </c>
      <c r="K129" s="436">
        <f t="shared" si="27"/>
        <v>193</v>
      </c>
      <c r="L129" s="437">
        <f t="shared" si="27"/>
        <v>1065</v>
      </c>
      <c r="M129" s="438">
        <f t="shared" si="27"/>
        <v>521</v>
      </c>
      <c r="N129" s="438">
        <f t="shared" si="27"/>
        <v>112</v>
      </c>
      <c r="O129" s="438">
        <f t="shared" si="27"/>
        <v>409</v>
      </c>
      <c r="P129" s="438">
        <f t="shared" si="27"/>
        <v>29</v>
      </c>
      <c r="Q129" s="438">
        <f t="shared" si="27"/>
        <v>975</v>
      </c>
      <c r="R129" s="438">
        <f t="shared" si="27"/>
        <v>510</v>
      </c>
      <c r="S129" s="438">
        <f t="shared" si="27"/>
        <v>98</v>
      </c>
      <c r="T129" s="438">
        <f t="shared" si="27"/>
        <v>412</v>
      </c>
      <c r="U129" s="436">
        <f t="shared" si="27"/>
        <v>29</v>
      </c>
      <c r="V129" s="439">
        <f t="shared" si="27"/>
        <v>991</v>
      </c>
      <c r="W129" s="440">
        <f t="shared" si="27"/>
        <v>556</v>
      </c>
      <c r="X129" s="440">
        <f t="shared" si="27"/>
        <v>144</v>
      </c>
      <c r="Y129" s="440">
        <f t="shared" si="27"/>
        <v>412</v>
      </c>
      <c r="Z129" s="440">
        <f t="shared" si="27"/>
        <v>29</v>
      </c>
      <c r="AA129" s="438">
        <f t="shared" si="27"/>
        <v>954</v>
      </c>
      <c r="AB129" s="438">
        <f t="shared" si="27"/>
        <v>539</v>
      </c>
      <c r="AC129" s="438">
        <f t="shared" si="27"/>
        <v>132</v>
      </c>
      <c r="AD129" s="438">
        <f t="shared" si="27"/>
        <v>407</v>
      </c>
      <c r="AE129" s="436">
        <f t="shared" si="27"/>
        <v>28</v>
      </c>
      <c r="AF129" s="441">
        <f t="shared" si="27"/>
        <v>1113</v>
      </c>
      <c r="AG129" s="438">
        <f t="shared" si="27"/>
        <v>617</v>
      </c>
      <c r="AH129" s="438">
        <f t="shared" si="27"/>
        <v>131</v>
      </c>
      <c r="AI129" s="438">
        <f t="shared" si="27"/>
        <v>486</v>
      </c>
      <c r="AJ129" s="438">
        <f t="shared" si="27"/>
        <v>24</v>
      </c>
      <c r="AK129" s="438">
        <f t="shared" si="27"/>
        <v>973</v>
      </c>
      <c r="AL129" s="438">
        <f aca="true" t="shared" si="28" ref="AL129:BT129">SUM(AL10,AL54)</f>
        <v>534</v>
      </c>
      <c r="AM129" s="438">
        <f t="shared" si="28"/>
        <v>123</v>
      </c>
      <c r="AN129" s="438">
        <f t="shared" si="28"/>
        <v>411</v>
      </c>
      <c r="AO129" s="436">
        <f t="shared" si="28"/>
        <v>30</v>
      </c>
      <c r="AP129" s="441">
        <f t="shared" si="28"/>
        <v>1055</v>
      </c>
      <c r="AQ129" s="438">
        <f t="shared" si="28"/>
        <v>553</v>
      </c>
      <c r="AR129" s="438">
        <f t="shared" si="28"/>
        <v>116</v>
      </c>
      <c r="AS129" s="438">
        <f t="shared" si="28"/>
        <v>437</v>
      </c>
      <c r="AT129" s="438">
        <f t="shared" si="28"/>
        <v>24</v>
      </c>
      <c r="AU129" s="438">
        <f t="shared" si="28"/>
        <v>1026</v>
      </c>
      <c r="AV129" s="438">
        <f t="shared" si="28"/>
        <v>554</v>
      </c>
      <c r="AW129" s="438">
        <f t="shared" si="28"/>
        <v>102</v>
      </c>
      <c r="AX129" s="438">
        <f t="shared" si="28"/>
        <v>452</v>
      </c>
      <c r="AY129" s="436">
        <f t="shared" si="28"/>
        <v>30</v>
      </c>
      <c r="AZ129" s="441">
        <f t="shared" si="28"/>
        <v>1022</v>
      </c>
      <c r="BA129" s="438">
        <f t="shared" si="28"/>
        <v>574</v>
      </c>
      <c r="BB129" s="438">
        <f t="shared" si="28"/>
        <v>120</v>
      </c>
      <c r="BC129" s="438">
        <f t="shared" si="28"/>
        <v>454</v>
      </c>
      <c r="BD129" s="438">
        <f t="shared" si="28"/>
        <v>22</v>
      </c>
      <c r="BE129" s="438">
        <f t="shared" si="28"/>
        <v>843</v>
      </c>
      <c r="BF129" s="438">
        <f t="shared" si="28"/>
        <v>448</v>
      </c>
      <c r="BG129" s="438">
        <f t="shared" si="28"/>
        <v>66</v>
      </c>
      <c r="BH129" s="438">
        <f t="shared" si="28"/>
        <v>382</v>
      </c>
      <c r="BI129" s="436">
        <f t="shared" si="28"/>
        <v>26</v>
      </c>
      <c r="BJ129" s="441">
        <f t="shared" si="28"/>
        <v>1175</v>
      </c>
      <c r="BK129" s="438">
        <f t="shared" si="28"/>
        <v>701</v>
      </c>
      <c r="BL129" s="438">
        <f t="shared" si="28"/>
        <v>42</v>
      </c>
      <c r="BM129" s="438">
        <f t="shared" si="28"/>
        <v>659</v>
      </c>
      <c r="BN129" s="438">
        <f t="shared" si="28"/>
        <v>33</v>
      </c>
      <c r="BO129" s="438">
        <f t="shared" si="28"/>
        <v>935</v>
      </c>
      <c r="BP129" s="438">
        <f t="shared" si="28"/>
        <v>565</v>
      </c>
      <c r="BQ129" s="438">
        <f t="shared" si="28"/>
        <v>10</v>
      </c>
      <c r="BR129" s="438">
        <f t="shared" si="28"/>
        <v>555</v>
      </c>
      <c r="BS129" s="436">
        <f t="shared" si="28"/>
        <v>27</v>
      </c>
      <c r="BT129" s="442">
        <f t="shared" si="28"/>
        <v>303</v>
      </c>
      <c r="BU129" s="443"/>
    </row>
    <row r="130" spans="2:73" ht="42" customHeight="1">
      <c r="B130" s="575" t="s">
        <v>83</v>
      </c>
      <c r="C130" s="576"/>
      <c r="D130" s="444"/>
      <c r="E130" s="445"/>
      <c r="F130" s="446"/>
      <c r="G130" s="317"/>
      <c r="H130" s="446"/>
      <c r="I130" s="447"/>
      <c r="J130" s="447"/>
      <c r="K130" s="448"/>
      <c r="L130" s="571">
        <f>M129/L8</f>
        <v>27.42105263157895</v>
      </c>
      <c r="M130" s="569"/>
      <c r="N130" s="569"/>
      <c r="O130" s="569"/>
      <c r="P130" s="570"/>
      <c r="Q130" s="569">
        <f>R129/Q8</f>
        <v>28.333333333333332</v>
      </c>
      <c r="R130" s="569"/>
      <c r="S130" s="569"/>
      <c r="T130" s="569"/>
      <c r="U130" s="570"/>
      <c r="V130" s="569">
        <f>W129/V8</f>
        <v>29.263157894736842</v>
      </c>
      <c r="W130" s="569"/>
      <c r="X130" s="569"/>
      <c r="Y130" s="569"/>
      <c r="Z130" s="570"/>
      <c r="AA130" s="569">
        <f>AB129/(AA8)</f>
        <v>29.944444444444443</v>
      </c>
      <c r="AB130" s="569"/>
      <c r="AC130" s="569"/>
      <c r="AD130" s="569"/>
      <c r="AE130" s="570"/>
      <c r="AF130" s="569">
        <f>AG129/AF8</f>
        <v>32.473684210526315</v>
      </c>
      <c r="AG130" s="569"/>
      <c r="AH130" s="569"/>
      <c r="AI130" s="569"/>
      <c r="AJ130" s="570"/>
      <c r="AK130" s="572">
        <f>AL129/AK8</f>
        <v>33.375</v>
      </c>
      <c r="AL130" s="569"/>
      <c r="AM130" s="569"/>
      <c r="AN130" s="569"/>
      <c r="AO130" s="570"/>
      <c r="AP130" s="571">
        <f>AQ129/AP8</f>
        <v>29.105263157894736</v>
      </c>
      <c r="AQ130" s="569"/>
      <c r="AR130" s="569"/>
      <c r="AS130" s="569"/>
      <c r="AT130" s="570"/>
      <c r="AU130" s="569">
        <f>AV129/AU8</f>
        <v>30.77777777777778</v>
      </c>
      <c r="AV130" s="569"/>
      <c r="AW130" s="569"/>
      <c r="AX130" s="569"/>
      <c r="AY130" s="570"/>
      <c r="AZ130" s="571">
        <f>BA129/AZ8</f>
        <v>33.76470588235294</v>
      </c>
      <c r="BA130" s="569"/>
      <c r="BB130" s="569"/>
      <c r="BC130" s="569"/>
      <c r="BD130" s="570"/>
      <c r="BE130" s="569">
        <f>BF129/BE8</f>
        <v>32</v>
      </c>
      <c r="BF130" s="569"/>
      <c r="BG130" s="569"/>
      <c r="BH130" s="569"/>
      <c r="BI130" s="570"/>
      <c r="BJ130" s="571">
        <f>BK129/BJ8</f>
        <v>35.05</v>
      </c>
      <c r="BK130" s="569"/>
      <c r="BL130" s="569"/>
      <c r="BM130" s="569"/>
      <c r="BN130" s="570"/>
      <c r="BO130" s="569">
        <f>BP129/BO8</f>
        <v>33.23529411764706</v>
      </c>
      <c r="BP130" s="569"/>
      <c r="BQ130" s="569"/>
      <c r="BR130" s="569"/>
      <c r="BS130" s="570"/>
      <c r="BT130" s="449"/>
      <c r="BU130" s="450"/>
    </row>
    <row r="131" spans="2:73" ht="45" customHeight="1" hidden="1" outlineLevel="1">
      <c r="B131" s="575" t="s">
        <v>86</v>
      </c>
      <c r="C131" s="576"/>
      <c r="D131" s="444"/>
      <c r="E131" s="445"/>
      <c r="F131" s="446"/>
      <c r="G131" s="317"/>
      <c r="H131" s="446"/>
      <c r="I131" s="447"/>
      <c r="J131" s="447"/>
      <c r="K131" s="448"/>
      <c r="L131" s="577">
        <f>L129/SUM(L8+1)</f>
        <v>53.25</v>
      </c>
      <c r="M131" s="578"/>
      <c r="N131" s="578"/>
      <c r="O131" s="578"/>
      <c r="P131" s="579"/>
      <c r="Q131" s="578">
        <f>Q129/SUM(Q8+2)</f>
        <v>48.75</v>
      </c>
      <c r="R131" s="578"/>
      <c r="S131" s="578"/>
      <c r="T131" s="578"/>
      <c r="U131" s="579"/>
      <c r="V131" s="578">
        <f>SUM(V129)/SUM(V8+2)</f>
        <v>47.19047619047619</v>
      </c>
      <c r="W131" s="578"/>
      <c r="X131" s="578"/>
      <c r="Y131" s="578"/>
      <c r="Z131" s="579"/>
      <c r="AA131" s="578">
        <f>SUM(AA129)/SUM(AA8+2)</f>
        <v>47.7</v>
      </c>
      <c r="AB131" s="578"/>
      <c r="AC131" s="578"/>
      <c r="AD131" s="578"/>
      <c r="AE131" s="579"/>
      <c r="AF131" s="578">
        <f>AF129/SUM(AF8+2)</f>
        <v>53</v>
      </c>
      <c r="AG131" s="578"/>
      <c r="AH131" s="578"/>
      <c r="AI131" s="578"/>
      <c r="AJ131" s="579"/>
      <c r="AK131" s="580">
        <f>AK129/SUM(AK8+4)</f>
        <v>48.65</v>
      </c>
      <c r="AL131" s="578"/>
      <c r="AM131" s="578"/>
      <c r="AN131" s="578"/>
      <c r="AO131" s="579"/>
      <c r="AP131" s="577">
        <f>AP129/SUM(AP8+1)</f>
        <v>52.75</v>
      </c>
      <c r="AQ131" s="578"/>
      <c r="AR131" s="578"/>
      <c r="AS131" s="578"/>
      <c r="AT131" s="579"/>
      <c r="AU131" s="578">
        <f>AU129/SUM(AU8+3)</f>
        <v>48.857142857142854</v>
      </c>
      <c r="AV131" s="578"/>
      <c r="AW131" s="578"/>
      <c r="AX131" s="578"/>
      <c r="AY131" s="579"/>
      <c r="AZ131" s="577">
        <f>AZ129/SUM(AZ8+4)</f>
        <v>48.666666666666664</v>
      </c>
      <c r="BA131" s="578"/>
      <c r="BB131" s="578"/>
      <c r="BC131" s="578"/>
      <c r="BD131" s="579"/>
      <c r="BE131" s="578">
        <f>BE129/SUM(BE8+3)</f>
        <v>49.588235294117645</v>
      </c>
      <c r="BF131" s="578"/>
      <c r="BG131" s="578"/>
      <c r="BH131" s="578"/>
      <c r="BI131" s="579"/>
      <c r="BJ131" s="577">
        <f>BJ129/SUM(BJ8+1)</f>
        <v>55.95238095238095</v>
      </c>
      <c r="BK131" s="578"/>
      <c r="BL131" s="578"/>
      <c r="BM131" s="578"/>
      <c r="BN131" s="579"/>
      <c r="BO131" s="578">
        <f>BO129/BO8</f>
        <v>55</v>
      </c>
      <c r="BP131" s="578"/>
      <c r="BQ131" s="578"/>
      <c r="BR131" s="578"/>
      <c r="BS131" s="579"/>
      <c r="BT131" s="449"/>
      <c r="BU131" s="450"/>
    </row>
    <row r="132" spans="2:73" ht="22.5" customHeight="1" collapsed="1">
      <c r="B132" s="575" t="s">
        <v>84</v>
      </c>
      <c r="C132" s="576"/>
      <c r="D132" s="451">
        <f>SUM(L132:BS132)</f>
        <v>35</v>
      </c>
      <c r="E132" s="448"/>
      <c r="F132" s="446"/>
      <c r="G132" s="317"/>
      <c r="H132" s="446"/>
      <c r="I132" s="447"/>
      <c r="J132" s="447"/>
      <c r="K132" s="448"/>
      <c r="L132" s="590">
        <f>_xlfn.COUNTIFS($D$10:$D$120,1)</f>
        <v>3</v>
      </c>
      <c r="M132" s="581"/>
      <c r="N132" s="581"/>
      <c r="O132" s="581"/>
      <c r="P132" s="582"/>
      <c r="Q132" s="571">
        <f>_xlfn.COUNTIFS($D$10:$D$120,2)+_xlfn.COUNTIFS($D$10:$D$120,"*2")+_xlfn.COUNTIFS($D$10:$D$120,"2*")</f>
        <v>2</v>
      </c>
      <c r="R132" s="581"/>
      <c r="S132" s="581"/>
      <c r="T132" s="581"/>
      <c r="U132" s="591"/>
      <c r="V132" s="571">
        <f>_xlfn.COUNTIFS($D$10:$D$120,3)+_xlfn.COUNTIFS($D$10:$D$120,"*3")+_xlfn.COUNTIFS($D$10:$D$120,"3*")</f>
        <v>2</v>
      </c>
      <c r="W132" s="581"/>
      <c r="X132" s="581"/>
      <c r="Y132" s="581"/>
      <c r="Z132" s="591"/>
      <c r="AA132" s="571">
        <f>_xlfn.COUNTIFS($D$10:$D$120,4)+_xlfn.COUNTIFS($D$10:$D$120,"*4")+_xlfn.COUNTIFS($D$10:$D$120,"4*")</f>
        <v>4</v>
      </c>
      <c r="AB132" s="581"/>
      <c r="AC132" s="581"/>
      <c r="AD132" s="581"/>
      <c r="AE132" s="591"/>
      <c r="AF132" s="571">
        <f>_xlfn.COUNTIFS($D$10:$D$120,5)+_xlfn.COUNTIFS($D$10:$D$120,"*5")+_xlfn.COUNTIFS($D$10:$D$120,"5*")</f>
        <v>2</v>
      </c>
      <c r="AG132" s="581"/>
      <c r="AH132" s="581"/>
      <c r="AI132" s="581"/>
      <c r="AJ132" s="591"/>
      <c r="AK132" s="571">
        <f>_xlfn.COUNTIFS($D$10:$D$120,6)+_xlfn.COUNTIFS($D$10:$D$120,"*6")+_xlfn.COUNTIFS($D$10:$D$120,"6*")</f>
        <v>5</v>
      </c>
      <c r="AL132" s="581"/>
      <c r="AM132" s="581"/>
      <c r="AN132" s="581"/>
      <c r="AO132" s="591"/>
      <c r="AP132" s="569">
        <f>_xlfn.COUNTIFS($D$10:$D$120,7)+_xlfn.COUNTIFS($D$10:$D$120,"*7")+_xlfn.COUNTIFS($D$10:$D$120,"7*")</f>
        <v>2</v>
      </c>
      <c r="AQ132" s="581"/>
      <c r="AR132" s="581"/>
      <c r="AS132" s="581"/>
      <c r="AT132" s="582"/>
      <c r="AU132" s="571">
        <f>_xlfn.COUNTIFS($D$10:$D$120,8)+_xlfn.COUNTIFS($D$10:$D$120,"*8")+_xlfn.COUNTIFS($D$10:$D$120,"8*")</f>
        <v>4</v>
      </c>
      <c r="AV132" s="581"/>
      <c r="AW132" s="581"/>
      <c r="AX132" s="581"/>
      <c r="AY132" s="591"/>
      <c r="AZ132" s="571">
        <f>_xlfn.COUNTIFS($D$10:$D$120,9)+_xlfn.COUNTIFS($D$10:$D$120,"*9")+_xlfn.COUNTIFS($D$10:$D$120,"9*")</f>
        <v>5</v>
      </c>
      <c r="BA132" s="569"/>
      <c r="BB132" s="569"/>
      <c r="BC132" s="569"/>
      <c r="BD132" s="570"/>
      <c r="BE132" s="571">
        <f>_xlfn.COUNTIFS($D$10:$D$120,10)+_xlfn.COUNTIFS($D$10:$D$120,"*10")+_xlfn.COUNTIFS($D$10:$D$120,"10*")</f>
        <v>4</v>
      </c>
      <c r="BF132" s="581"/>
      <c r="BG132" s="581"/>
      <c r="BH132" s="581"/>
      <c r="BI132" s="591"/>
      <c r="BJ132" s="571">
        <f>_xlfn.COUNTIFS($D$10:$D$120,11)+_xlfn.COUNTIFS($D$10:$D$120,"*11")+_xlfn.COUNTIFS($D$10:$D$120,"11*")</f>
        <v>2</v>
      </c>
      <c r="BK132" s="569"/>
      <c r="BL132" s="569"/>
      <c r="BM132" s="569"/>
      <c r="BN132" s="570"/>
      <c r="BO132" s="571">
        <f>_xlfn.COUNTIFS($D$10:$D$120,12)+_xlfn.COUNTIFS($D$10:$D$120,"*12")+_xlfn.COUNTIFS($D$10:$D$120,"12*")</f>
        <v>0</v>
      </c>
      <c r="BP132" s="569"/>
      <c r="BQ132" s="569"/>
      <c r="BR132" s="569"/>
      <c r="BS132" s="570"/>
      <c r="BT132" s="449"/>
      <c r="BU132" s="450"/>
    </row>
    <row r="133" spans="2:73" ht="22.5" customHeight="1" thickBot="1">
      <c r="B133" s="583" t="s">
        <v>85</v>
      </c>
      <c r="C133" s="584"/>
      <c r="D133" s="452"/>
      <c r="E133" s="453">
        <f>SUM(L133:BS133)</f>
        <v>63</v>
      </c>
      <c r="F133" s="454"/>
      <c r="G133" s="455"/>
      <c r="H133" s="454"/>
      <c r="I133" s="456"/>
      <c r="J133" s="456"/>
      <c r="K133" s="457"/>
      <c r="L133" s="585">
        <v>7</v>
      </c>
      <c r="M133" s="586"/>
      <c r="N133" s="586"/>
      <c r="O133" s="586"/>
      <c r="P133" s="587"/>
      <c r="Q133" s="585">
        <f>_xlfn.COUNTIFS($E$10:$E$105,2)+_xlfn.COUNTIFS($E$10:$E$105,"*2*")</f>
        <v>7</v>
      </c>
      <c r="R133" s="586"/>
      <c r="S133" s="586"/>
      <c r="T133" s="586"/>
      <c r="U133" s="587"/>
      <c r="V133" s="588">
        <v>6</v>
      </c>
      <c r="W133" s="586"/>
      <c r="X133" s="586"/>
      <c r="Y133" s="586"/>
      <c r="Z133" s="589"/>
      <c r="AA133" s="585">
        <v>5</v>
      </c>
      <c r="AB133" s="586"/>
      <c r="AC133" s="586"/>
      <c r="AD133" s="586"/>
      <c r="AE133" s="587"/>
      <c r="AF133" s="588">
        <f>_xlfn.COUNTIFS($E$10:$E$120,5)+_xlfn.COUNTIFS($E$10:$E$120,"*5")+_xlfn.COUNTIFS($E$10:$E$120,"5*")</f>
        <v>5</v>
      </c>
      <c r="AG133" s="586"/>
      <c r="AH133" s="586"/>
      <c r="AI133" s="586"/>
      <c r="AJ133" s="589"/>
      <c r="AK133" s="585">
        <v>5</v>
      </c>
      <c r="AL133" s="586"/>
      <c r="AM133" s="586"/>
      <c r="AN133" s="586"/>
      <c r="AO133" s="587"/>
      <c r="AP133" s="585">
        <f>_xlfn.COUNTIFS($E$10:$E$120,7)+_xlfn.COUNTIFS($E$10:$E$120,"*7")+_xlfn.COUNTIFS($E$10:$E$120,"7*")</f>
        <v>5</v>
      </c>
      <c r="AQ133" s="586"/>
      <c r="AR133" s="586"/>
      <c r="AS133" s="586"/>
      <c r="AT133" s="587"/>
      <c r="AU133" s="585">
        <v>5</v>
      </c>
      <c r="AV133" s="586"/>
      <c r="AW133" s="586"/>
      <c r="AX133" s="586"/>
      <c r="AY133" s="587"/>
      <c r="AZ133" s="585">
        <v>2</v>
      </c>
      <c r="BA133" s="586"/>
      <c r="BB133" s="586"/>
      <c r="BC133" s="586"/>
      <c r="BD133" s="587"/>
      <c r="BE133" s="585">
        <v>4</v>
      </c>
      <c r="BF133" s="586"/>
      <c r="BG133" s="586"/>
      <c r="BH133" s="586"/>
      <c r="BI133" s="587"/>
      <c r="BJ133" s="588">
        <v>6</v>
      </c>
      <c r="BK133" s="586"/>
      <c r="BL133" s="586"/>
      <c r="BM133" s="586"/>
      <c r="BN133" s="589"/>
      <c r="BO133" s="585">
        <v>6</v>
      </c>
      <c r="BP133" s="586"/>
      <c r="BQ133" s="586"/>
      <c r="BR133" s="586"/>
      <c r="BS133" s="587"/>
      <c r="BT133" s="458"/>
      <c r="BU133" s="459"/>
    </row>
    <row r="134" spans="2:73" s="52" customFormat="1" ht="42.75" customHeight="1" hidden="1">
      <c r="B134" s="67"/>
      <c r="C134" s="58"/>
      <c r="D134" s="58"/>
      <c r="E134" s="58"/>
      <c r="F134" s="594">
        <f>F129+60+140+54+64+270+440</f>
        <v>13155</v>
      </c>
      <c r="G134" s="595"/>
      <c r="H134" s="595"/>
      <c r="I134" s="595"/>
      <c r="J134" s="595"/>
      <c r="K134" s="595"/>
      <c r="L134" s="595"/>
      <c r="M134" s="595"/>
      <c r="N134" s="59"/>
      <c r="O134" s="59">
        <f>(L129+54+80)/21</f>
        <v>57.095238095238095</v>
      </c>
      <c r="P134" s="80"/>
      <c r="Q134" s="58"/>
      <c r="R134" s="60">
        <f>(Q129+64+72)/20</f>
        <v>55.55</v>
      </c>
      <c r="S134" s="59"/>
      <c r="T134" s="59"/>
      <c r="U134" s="80"/>
      <c r="V134" s="58"/>
      <c r="W134" s="58"/>
      <c r="X134" s="59">
        <f>(V129+76+76)/21</f>
        <v>54.42857142857143</v>
      </c>
      <c r="Y134" s="59"/>
      <c r="Z134" s="80"/>
      <c r="AA134" s="58"/>
      <c r="AB134" s="58"/>
      <c r="AC134" s="59">
        <f>(AA129+76+72)/21</f>
        <v>52.476190476190474</v>
      </c>
      <c r="AD134" s="59"/>
      <c r="AE134" s="80"/>
      <c r="AF134" s="58"/>
      <c r="AG134" s="58"/>
      <c r="AH134" s="59">
        <f>(AF129+70+38)/21</f>
        <v>58.142857142857146</v>
      </c>
      <c r="AI134" s="59"/>
      <c r="AJ134" s="80"/>
      <c r="AK134" s="58"/>
      <c r="AL134" s="58"/>
      <c r="AM134" s="59">
        <f>(AK129+48+32)/20</f>
        <v>52.65</v>
      </c>
      <c r="AN134" s="59"/>
      <c r="AO134" s="80"/>
      <c r="AP134" s="58"/>
      <c r="AQ134" s="58"/>
      <c r="AR134" s="60">
        <f>(AP129+38+38)/20</f>
        <v>56.55</v>
      </c>
      <c r="AS134" s="59"/>
      <c r="AT134" s="80"/>
      <c r="AU134" s="58"/>
      <c r="AV134" s="58"/>
      <c r="AW134" s="59">
        <f>(AU129+32+32)/21</f>
        <v>51.904761904761905</v>
      </c>
      <c r="AX134" s="59"/>
      <c r="AY134" s="80"/>
      <c r="AZ134" s="58"/>
      <c r="BA134" s="510">
        <f>(AZ129+34+34+36)/20</f>
        <v>56.3</v>
      </c>
      <c r="BB134" s="59"/>
      <c r="BC134" s="58"/>
      <c r="BD134" s="80"/>
      <c r="BE134" s="58"/>
      <c r="BF134" s="188">
        <f>(BE129+28+28+36)/17</f>
        <v>55</v>
      </c>
      <c r="BG134" s="59"/>
      <c r="BH134" s="59"/>
      <c r="BI134" s="82"/>
      <c r="BJ134" s="58"/>
      <c r="BK134" s="58"/>
      <c r="BL134" s="59"/>
      <c r="BM134" s="59"/>
      <c r="BN134" s="80"/>
      <c r="BO134" s="58"/>
      <c r="BP134" s="58"/>
      <c r="BQ134" s="59"/>
      <c r="BR134" s="59"/>
      <c r="BS134" s="80"/>
      <c r="BT134" s="85"/>
      <c r="BU134" s="209"/>
    </row>
    <row r="135" spans="2:73" s="201" customFormat="1" ht="23.25" hidden="1">
      <c r="B135" s="200"/>
      <c r="N135" s="202"/>
      <c r="O135" s="202"/>
      <c r="P135" s="203"/>
      <c r="S135" s="202"/>
      <c r="T135" s="202"/>
      <c r="U135" s="203"/>
      <c r="X135" s="202"/>
      <c r="Y135" s="202"/>
      <c r="Z135" s="203"/>
      <c r="AC135" s="202"/>
      <c r="AD135" s="202"/>
      <c r="AE135" s="203"/>
      <c r="AH135" s="202"/>
      <c r="AI135" s="202"/>
      <c r="AJ135" s="203"/>
      <c r="AM135" s="202"/>
      <c r="AN135" s="202"/>
      <c r="AO135" s="203"/>
      <c r="AR135" s="202"/>
      <c r="AS135" s="202"/>
      <c r="AT135" s="203"/>
      <c r="AW135" s="202"/>
      <c r="AX135" s="202"/>
      <c r="AY135" s="203"/>
      <c r="BB135" s="202"/>
      <c r="BC135" s="202"/>
      <c r="BD135" s="203"/>
      <c r="BF135" s="204"/>
      <c r="BG135" s="205"/>
      <c r="BH135" s="205"/>
      <c r="BI135" s="206"/>
      <c r="BJ135" s="204"/>
      <c r="BK135" s="204"/>
      <c r="BL135" s="205"/>
      <c r="BM135" s="205"/>
      <c r="BN135" s="206"/>
      <c r="BQ135" s="202"/>
      <c r="BR135" s="202"/>
      <c r="BS135" s="203"/>
      <c r="BT135" s="207"/>
      <c r="BU135" s="210"/>
    </row>
    <row r="136" spans="2:73" s="201" customFormat="1" ht="63" customHeight="1" hidden="1">
      <c r="B136" s="200"/>
      <c r="F136" s="184"/>
      <c r="G136" s="596" t="s">
        <v>543</v>
      </c>
      <c r="H136" s="596"/>
      <c r="I136" s="596"/>
      <c r="J136" s="596"/>
      <c r="K136" s="596"/>
      <c r="L136" s="186">
        <f>(L129+54+76)/19</f>
        <v>62.89473684210526</v>
      </c>
      <c r="M136" s="184"/>
      <c r="N136" s="185"/>
      <c r="O136" s="185"/>
      <c r="P136" s="186"/>
      <c r="Q136" s="186">
        <f>(Q129+64+72)/18</f>
        <v>61.72222222222222</v>
      </c>
      <c r="R136" s="184"/>
      <c r="S136" s="185"/>
      <c r="T136" s="185"/>
      <c r="U136" s="186"/>
      <c r="V136" s="186">
        <f>(V129+60+76+76)/19</f>
        <v>63.31578947368421</v>
      </c>
      <c r="W136" s="184"/>
      <c r="X136" s="185"/>
      <c r="Y136" s="185"/>
      <c r="Z136" s="186"/>
      <c r="AA136" s="186">
        <f>(AA129+76+76)/18</f>
        <v>61.44444444444444</v>
      </c>
      <c r="AB136" s="184"/>
      <c r="AC136" s="185"/>
      <c r="AD136" s="185"/>
      <c r="AE136" s="186"/>
      <c r="AF136" s="186">
        <f>(AF129+38+70+38)/19</f>
        <v>66.26315789473684</v>
      </c>
      <c r="AG136" s="184"/>
      <c r="AH136" s="184"/>
      <c r="AI136" s="184"/>
      <c r="AJ136" s="186"/>
      <c r="AK136" s="186">
        <f>(AK129+32+48+32)/16</f>
        <v>67.8125</v>
      </c>
      <c r="AL136" s="184"/>
      <c r="AM136" s="185"/>
      <c r="AN136" s="185"/>
      <c r="AO136" s="186"/>
      <c r="AP136" s="186">
        <f>(AP129+38+38)/19</f>
        <v>59.526315789473685</v>
      </c>
      <c r="AQ136" s="184"/>
      <c r="AR136" s="185"/>
      <c r="AS136" s="185"/>
      <c r="AT136" s="186"/>
      <c r="AU136" s="186">
        <f>(AU129+36+36)/18</f>
        <v>61</v>
      </c>
      <c r="AV136" s="184"/>
      <c r="AW136" s="185"/>
      <c r="AX136" s="185"/>
      <c r="AY136" s="186"/>
      <c r="AZ136" s="186">
        <f>(AZ129+34+34)/17</f>
        <v>64.11764705882354</v>
      </c>
      <c r="BA136" s="184"/>
      <c r="BB136" s="185"/>
      <c r="BC136" s="185"/>
      <c r="BD136" s="186"/>
      <c r="BE136" s="186">
        <f>(BE129+28+28)/14</f>
        <v>64.21428571428571</v>
      </c>
      <c r="BF136" s="187"/>
      <c r="BG136" s="188"/>
      <c r="BH136" s="188"/>
      <c r="BI136" s="189"/>
      <c r="BJ136" s="186">
        <f>(BJ129)/20</f>
        <v>58.75</v>
      </c>
      <c r="BK136" s="187"/>
      <c r="BL136" s="188"/>
      <c r="BM136" s="188"/>
      <c r="BN136" s="189"/>
      <c r="BO136" s="186"/>
      <c r="BP136" s="184"/>
      <c r="BQ136" s="185"/>
      <c r="BR136" s="185"/>
      <c r="BS136" s="186"/>
      <c r="BT136" s="190"/>
      <c r="BU136" s="210"/>
    </row>
    <row r="137" spans="2:73" s="201" customFormat="1" ht="28.5" customHeight="1">
      <c r="B137" s="200"/>
      <c r="F137" s="184"/>
      <c r="G137" s="596" t="s">
        <v>342</v>
      </c>
      <c r="H137" s="596"/>
      <c r="I137" s="596"/>
      <c r="J137" s="596"/>
      <c r="K137" s="596"/>
      <c r="L137" s="184">
        <f>(L18+M136)*54</f>
        <v>0</v>
      </c>
      <c r="M137" s="184"/>
      <c r="N137" s="185"/>
      <c r="O137" s="185"/>
      <c r="P137" s="186"/>
      <c r="Q137" s="184">
        <f>(Q18+R136)*54</f>
        <v>0</v>
      </c>
      <c r="R137" s="184"/>
      <c r="S137" s="185"/>
      <c r="T137" s="185"/>
      <c r="U137" s="186"/>
      <c r="V137" s="184">
        <f>(V18+W136)*54</f>
        <v>0</v>
      </c>
      <c r="W137" s="184"/>
      <c r="X137" s="185"/>
      <c r="Y137" s="185"/>
      <c r="Z137" s="186"/>
      <c r="AA137" s="184">
        <f>(AA18+AB136)*54</f>
        <v>0</v>
      </c>
      <c r="AB137" s="184"/>
      <c r="AC137" s="185"/>
      <c r="AD137" s="185"/>
      <c r="AE137" s="186"/>
      <c r="AF137" s="184">
        <f>(AF18+AG136)*54</f>
        <v>0</v>
      </c>
      <c r="AG137" s="184"/>
      <c r="AH137" s="185"/>
      <c r="AI137" s="185"/>
      <c r="AJ137" s="186"/>
      <c r="AK137" s="184">
        <f>(AK18+AL136)*54</f>
        <v>0</v>
      </c>
      <c r="AL137" s="184"/>
      <c r="AM137" s="185"/>
      <c r="AN137" s="185"/>
      <c r="AO137" s="186"/>
      <c r="AP137" s="184">
        <f>(AP18+AQ136)*54</f>
        <v>0</v>
      </c>
      <c r="AQ137" s="184"/>
      <c r="AR137" s="185"/>
      <c r="AS137" s="185"/>
      <c r="AT137" s="186"/>
      <c r="AU137" s="184">
        <f>(AU18+AV136)*54</f>
        <v>0</v>
      </c>
      <c r="AV137" s="184"/>
      <c r="AW137" s="185"/>
      <c r="AX137" s="185"/>
      <c r="AY137" s="186"/>
      <c r="AZ137" s="184">
        <f>(AZ18+BA136)*54</f>
        <v>0</v>
      </c>
      <c r="BA137" s="184"/>
      <c r="BB137" s="185"/>
      <c r="BC137" s="185"/>
      <c r="BD137" s="186"/>
      <c r="BE137" s="184">
        <f>(BE18+BF136)*54</f>
        <v>0</v>
      </c>
      <c r="BF137" s="187"/>
      <c r="BG137" s="188"/>
      <c r="BH137" s="188"/>
      <c r="BI137" s="189"/>
      <c r="BJ137" s="187">
        <f>(BJ18+BK136)*54</f>
        <v>0</v>
      </c>
      <c r="BK137" s="187"/>
      <c r="BL137" s="188"/>
      <c r="BM137" s="188"/>
      <c r="BN137" s="189"/>
      <c r="BO137" s="184"/>
      <c r="BP137" s="184"/>
      <c r="BQ137" s="185"/>
      <c r="BR137" s="185"/>
      <c r="BS137" s="186"/>
      <c r="BT137" s="190"/>
      <c r="BU137" s="210"/>
    </row>
    <row r="138" spans="2:73" s="201" customFormat="1" ht="23.25">
      <c r="B138" s="200"/>
      <c r="F138" s="184"/>
      <c r="G138" s="184"/>
      <c r="H138" s="184"/>
      <c r="I138" s="184"/>
      <c r="J138" s="184"/>
      <c r="K138" s="184"/>
      <c r="L138" s="184"/>
      <c r="M138" s="184">
        <v>2</v>
      </c>
      <c r="N138" s="185"/>
      <c r="O138" s="185"/>
      <c r="P138" s="186"/>
      <c r="Q138" s="184"/>
      <c r="R138" s="184">
        <v>2</v>
      </c>
      <c r="S138" s="185"/>
      <c r="T138" s="185"/>
      <c r="U138" s="186"/>
      <c r="V138" s="184"/>
      <c r="W138" s="184">
        <v>2</v>
      </c>
      <c r="X138" s="185"/>
      <c r="Y138" s="185"/>
      <c r="Z138" s="186"/>
      <c r="AA138" s="184"/>
      <c r="AB138" s="184">
        <v>2</v>
      </c>
      <c r="AC138" s="185"/>
      <c r="AD138" s="185"/>
      <c r="AE138" s="186"/>
      <c r="AF138" s="184"/>
      <c r="AG138" s="184">
        <v>2</v>
      </c>
      <c r="AH138" s="185"/>
      <c r="AI138" s="185"/>
      <c r="AJ138" s="186"/>
      <c r="AK138" s="184"/>
      <c r="AL138" s="184">
        <v>4</v>
      </c>
      <c r="AM138" s="185"/>
      <c r="AN138" s="185"/>
      <c r="AO138" s="186"/>
      <c r="AP138" s="184"/>
      <c r="AQ138" s="184">
        <v>1</v>
      </c>
      <c r="AR138" s="185"/>
      <c r="AS138" s="185"/>
      <c r="AT138" s="186"/>
      <c r="AU138" s="184"/>
      <c r="AV138" s="184">
        <v>3</v>
      </c>
      <c r="AW138" s="185"/>
      <c r="AX138" s="185"/>
      <c r="AY138" s="186"/>
      <c r="AZ138" s="184"/>
      <c r="BA138" s="184">
        <v>4</v>
      </c>
      <c r="BB138" s="185"/>
      <c r="BC138" s="185"/>
      <c r="BD138" s="186"/>
      <c r="BE138" s="184"/>
      <c r="BF138" s="187">
        <v>3</v>
      </c>
      <c r="BG138" s="188"/>
      <c r="BH138" s="188"/>
      <c r="BI138" s="189"/>
      <c r="BJ138" s="187"/>
      <c r="BK138" s="187">
        <v>1</v>
      </c>
      <c r="BL138" s="188"/>
      <c r="BM138" s="188"/>
      <c r="BN138" s="189"/>
      <c r="BO138" s="184"/>
      <c r="BP138" s="184"/>
      <c r="BQ138" s="185"/>
      <c r="BR138" s="185"/>
      <c r="BS138" s="186"/>
      <c r="BT138" s="190"/>
      <c r="BU138" s="210"/>
    </row>
    <row r="139" spans="2:73" s="201" customFormat="1" ht="51" customHeight="1">
      <c r="B139" s="200"/>
      <c r="F139" s="184"/>
      <c r="G139" s="596" t="s">
        <v>340</v>
      </c>
      <c r="H139" s="596"/>
      <c r="I139" s="596"/>
      <c r="J139" s="596"/>
      <c r="K139" s="596"/>
      <c r="L139" s="191">
        <f>(L8+M138)*54</f>
        <v>1134</v>
      </c>
      <c r="M139" s="191"/>
      <c r="N139" s="192"/>
      <c r="O139" s="192"/>
      <c r="P139" s="193"/>
      <c r="Q139" s="191">
        <f>(Q8+R138)*54</f>
        <v>1080</v>
      </c>
      <c r="R139" s="191"/>
      <c r="S139" s="192"/>
      <c r="T139" s="192"/>
      <c r="U139" s="193"/>
      <c r="V139" s="191">
        <f>(V8+W138)*54</f>
        <v>1134</v>
      </c>
      <c r="W139" s="191"/>
      <c r="X139" s="192"/>
      <c r="Y139" s="192"/>
      <c r="Z139" s="193"/>
      <c r="AA139" s="191">
        <f>(AA8+AB138)*54</f>
        <v>1080</v>
      </c>
      <c r="AB139" s="191"/>
      <c r="AC139" s="192"/>
      <c r="AD139" s="192"/>
      <c r="AE139" s="193"/>
      <c r="AF139" s="191">
        <f>(AF8+AG138)*54</f>
        <v>1134</v>
      </c>
      <c r="AG139" s="191"/>
      <c r="AH139" s="192"/>
      <c r="AI139" s="192"/>
      <c r="AJ139" s="193"/>
      <c r="AK139" s="191">
        <f>(AK8+AL138)*54</f>
        <v>1080</v>
      </c>
      <c r="AL139" s="191"/>
      <c r="AM139" s="192"/>
      <c r="AN139" s="192"/>
      <c r="AO139" s="193"/>
      <c r="AP139" s="191">
        <f>(AP8+AQ138)*54</f>
        <v>1080</v>
      </c>
      <c r="AQ139" s="191"/>
      <c r="AR139" s="192"/>
      <c r="AS139" s="192"/>
      <c r="AT139" s="193"/>
      <c r="AU139" s="191">
        <f>(AU8+AV138)*54</f>
        <v>1134</v>
      </c>
      <c r="AV139" s="191"/>
      <c r="AW139" s="192"/>
      <c r="AX139" s="192"/>
      <c r="AY139" s="193"/>
      <c r="AZ139" s="191">
        <f>(AZ8+BA138)*54</f>
        <v>1134</v>
      </c>
      <c r="BA139" s="191"/>
      <c r="BB139" s="192"/>
      <c r="BC139" s="192"/>
      <c r="BD139" s="193"/>
      <c r="BE139" s="191">
        <f>(BE8+BF138)*54</f>
        <v>918</v>
      </c>
      <c r="BF139" s="194"/>
      <c r="BG139" s="195"/>
      <c r="BH139" s="195"/>
      <c r="BI139" s="196"/>
      <c r="BJ139" s="194">
        <f>(BJ8+BK138)*54</f>
        <v>1134</v>
      </c>
      <c r="BK139" s="194"/>
      <c r="BL139" s="195"/>
      <c r="BM139" s="195"/>
      <c r="BN139" s="196"/>
      <c r="BO139" s="191"/>
      <c r="BP139" s="184"/>
      <c r="BQ139" s="185"/>
      <c r="BR139" s="185"/>
      <c r="BS139" s="186"/>
      <c r="BT139" s="190"/>
      <c r="BU139" s="210"/>
    </row>
    <row r="140" spans="2:73" s="201" customFormat="1" ht="23.25">
      <c r="B140" s="200"/>
      <c r="F140" s="184"/>
      <c r="G140" s="184"/>
      <c r="H140" s="184"/>
      <c r="I140" s="184"/>
      <c r="J140" s="184"/>
      <c r="K140" s="184"/>
      <c r="L140" s="191"/>
      <c r="M140" s="191"/>
      <c r="N140" s="192"/>
      <c r="O140" s="192"/>
      <c r="P140" s="193"/>
      <c r="Q140" s="191"/>
      <c r="R140" s="191"/>
      <c r="S140" s="192"/>
      <c r="T140" s="192"/>
      <c r="U140" s="193"/>
      <c r="V140" s="191"/>
      <c r="W140" s="191"/>
      <c r="X140" s="192"/>
      <c r="Y140" s="192"/>
      <c r="Z140" s="193"/>
      <c r="AA140" s="191"/>
      <c r="AB140" s="191"/>
      <c r="AC140" s="192"/>
      <c r="AD140" s="192"/>
      <c r="AE140" s="193"/>
      <c r="AF140" s="191"/>
      <c r="AG140" s="191"/>
      <c r="AH140" s="192"/>
      <c r="AI140" s="192"/>
      <c r="AJ140" s="193"/>
      <c r="AK140" s="191"/>
      <c r="AL140" s="191"/>
      <c r="AM140" s="192"/>
      <c r="AN140" s="192"/>
      <c r="AO140" s="193"/>
      <c r="AP140" s="191"/>
      <c r="AQ140" s="191"/>
      <c r="AR140" s="192"/>
      <c r="AS140" s="192"/>
      <c r="AT140" s="193"/>
      <c r="AU140" s="191"/>
      <c r="AV140" s="191"/>
      <c r="AW140" s="192"/>
      <c r="AX140" s="192"/>
      <c r="AY140" s="193"/>
      <c r="AZ140" s="191"/>
      <c r="BA140" s="191"/>
      <c r="BB140" s="192"/>
      <c r="BC140" s="192"/>
      <c r="BD140" s="193"/>
      <c r="BE140" s="191"/>
      <c r="BF140" s="194"/>
      <c r="BG140" s="195"/>
      <c r="BH140" s="195"/>
      <c r="BI140" s="196"/>
      <c r="BJ140" s="194"/>
      <c r="BK140" s="194"/>
      <c r="BL140" s="195"/>
      <c r="BM140" s="195"/>
      <c r="BN140" s="196"/>
      <c r="BO140" s="191"/>
      <c r="BP140" s="184"/>
      <c r="BQ140" s="185"/>
      <c r="BR140" s="185"/>
      <c r="BS140" s="186"/>
      <c r="BT140" s="190"/>
      <c r="BU140" s="210"/>
    </row>
    <row r="141" spans="2:73" s="201" customFormat="1" ht="49.5" customHeight="1">
      <c r="B141" s="200"/>
      <c r="F141" s="184"/>
      <c r="G141" s="596" t="s">
        <v>341</v>
      </c>
      <c r="H141" s="596"/>
      <c r="I141" s="596"/>
      <c r="J141" s="596"/>
      <c r="K141" s="596"/>
      <c r="L141" s="197">
        <f>L129+54+76</f>
        <v>1195</v>
      </c>
      <c r="M141" s="191"/>
      <c r="N141" s="192"/>
      <c r="O141" s="192"/>
      <c r="P141" s="193"/>
      <c r="Q141" s="197">
        <f>Q129+64+72</f>
        <v>1111</v>
      </c>
      <c r="R141" s="191"/>
      <c r="S141" s="192"/>
      <c r="T141" s="192"/>
      <c r="U141" s="193"/>
      <c r="V141" s="193">
        <f>V129+60+76+76</f>
        <v>1203</v>
      </c>
      <c r="W141" s="191"/>
      <c r="X141" s="192"/>
      <c r="Y141" s="192"/>
      <c r="Z141" s="193"/>
      <c r="AA141" s="193">
        <f>AA129+76+76</f>
        <v>1106</v>
      </c>
      <c r="AB141" s="191"/>
      <c r="AC141" s="192"/>
      <c r="AD141" s="192"/>
      <c r="AE141" s="193"/>
      <c r="AF141" s="193">
        <f>AF129+38+70+38</f>
        <v>1259</v>
      </c>
      <c r="AG141" s="191"/>
      <c r="AH141" s="192"/>
      <c r="AI141" s="192"/>
      <c r="AJ141" s="193"/>
      <c r="AK141" s="193">
        <f>AK129+32+48+32</f>
        <v>1085</v>
      </c>
      <c r="AL141" s="191"/>
      <c r="AM141" s="192"/>
      <c r="AN141" s="192"/>
      <c r="AO141" s="193"/>
      <c r="AP141" s="193">
        <f>AP129+38+38</f>
        <v>1131</v>
      </c>
      <c r="AQ141" s="191"/>
      <c r="AR141" s="192"/>
      <c r="AS141" s="192"/>
      <c r="AT141" s="193"/>
      <c r="AU141" s="193">
        <f>AU129+36+36</f>
        <v>1098</v>
      </c>
      <c r="AV141" s="191"/>
      <c r="AW141" s="192"/>
      <c r="AX141" s="192"/>
      <c r="AY141" s="193"/>
      <c r="AZ141" s="193">
        <f>AZ129+34+34+36</f>
        <v>1126</v>
      </c>
      <c r="BA141" s="191"/>
      <c r="BB141" s="192"/>
      <c r="BC141" s="192"/>
      <c r="BD141" s="193"/>
      <c r="BE141" s="193">
        <f>BE129+54+28+28+36</f>
        <v>989</v>
      </c>
      <c r="BF141" s="512">
        <f>BE141/17</f>
        <v>58.1764705882353</v>
      </c>
      <c r="BG141" s="195"/>
      <c r="BH141" s="195"/>
      <c r="BI141" s="196"/>
      <c r="BJ141" s="196">
        <f>BJ129+64+70</f>
        <v>1309</v>
      </c>
      <c r="BK141" s="513">
        <f>BJ141/21</f>
        <v>62.333333333333336</v>
      </c>
      <c r="BL141" s="195"/>
      <c r="BM141" s="195"/>
      <c r="BN141" s="196"/>
      <c r="BO141" s="196">
        <f>BO129+60+72</f>
        <v>1067</v>
      </c>
      <c r="BP141" s="511">
        <f>BO141/17</f>
        <v>62.76470588235294</v>
      </c>
      <c r="BQ141" s="185"/>
      <c r="BR141" s="185"/>
      <c r="BS141" s="186"/>
      <c r="BT141" s="190"/>
      <c r="BU141" s="210"/>
    </row>
    <row r="142" spans="2:73" s="201" customFormat="1" ht="23.25">
      <c r="B142" s="200"/>
      <c r="F142" s="184"/>
      <c r="G142" s="184"/>
      <c r="H142" s="184"/>
      <c r="I142" s="184"/>
      <c r="J142" s="184"/>
      <c r="K142" s="184"/>
      <c r="L142" s="184"/>
      <c r="M142" s="184"/>
      <c r="N142" s="185"/>
      <c r="O142" s="185"/>
      <c r="P142" s="186"/>
      <c r="Q142" s="184"/>
      <c r="R142" s="184"/>
      <c r="S142" s="185"/>
      <c r="T142" s="185"/>
      <c r="U142" s="186"/>
      <c r="V142" s="184"/>
      <c r="W142" s="184"/>
      <c r="X142" s="185"/>
      <c r="Y142" s="185"/>
      <c r="Z142" s="186"/>
      <c r="AA142" s="184"/>
      <c r="AB142" s="184"/>
      <c r="AC142" s="185"/>
      <c r="AD142" s="185"/>
      <c r="AE142" s="186"/>
      <c r="AF142" s="184"/>
      <c r="AG142" s="184"/>
      <c r="AH142" s="185"/>
      <c r="AI142" s="185"/>
      <c r="AJ142" s="186"/>
      <c r="AK142" s="184"/>
      <c r="AL142" s="184"/>
      <c r="AM142" s="185"/>
      <c r="AN142" s="185"/>
      <c r="AO142" s="186"/>
      <c r="AP142" s="184"/>
      <c r="AQ142" s="184"/>
      <c r="AR142" s="185"/>
      <c r="AS142" s="185"/>
      <c r="AT142" s="186"/>
      <c r="AU142" s="184"/>
      <c r="AV142" s="184"/>
      <c r="AW142" s="185"/>
      <c r="AX142" s="185"/>
      <c r="AY142" s="186"/>
      <c r="AZ142" s="184"/>
      <c r="BA142" s="184"/>
      <c r="BB142" s="185"/>
      <c r="BC142" s="185"/>
      <c r="BD142" s="186"/>
      <c r="BE142" s="184"/>
      <c r="BF142" s="187"/>
      <c r="BG142" s="188"/>
      <c r="BH142" s="188"/>
      <c r="BI142" s="189"/>
      <c r="BJ142" s="187"/>
      <c r="BK142" s="187"/>
      <c r="BL142" s="188"/>
      <c r="BM142" s="188"/>
      <c r="BN142" s="189"/>
      <c r="BO142" s="184"/>
      <c r="BP142" s="184"/>
      <c r="BQ142" s="185"/>
      <c r="BR142" s="185"/>
      <c r="BS142" s="186"/>
      <c r="BT142" s="190"/>
      <c r="BU142" s="210"/>
    </row>
    <row r="143" spans="2:73" s="201" customFormat="1" ht="58.5" customHeight="1">
      <c r="B143" s="200"/>
      <c r="F143" s="596" t="s">
        <v>544</v>
      </c>
      <c r="G143" s="596"/>
      <c r="H143" s="596"/>
      <c r="I143" s="596"/>
      <c r="J143" s="596"/>
      <c r="K143" s="596"/>
      <c r="L143" s="198">
        <f>(M129+36+76)/19</f>
        <v>33.31578947368421</v>
      </c>
      <c r="M143" s="184"/>
      <c r="N143" s="185"/>
      <c r="O143" s="185"/>
      <c r="P143" s="186"/>
      <c r="Q143" s="198">
        <f>(R129+34+72)/18</f>
        <v>34.22222222222222</v>
      </c>
      <c r="R143" s="184"/>
      <c r="S143" s="185"/>
      <c r="T143" s="185"/>
      <c r="U143" s="186"/>
      <c r="V143" s="198">
        <f>(W129+36+50+76)/19</f>
        <v>37.78947368421053</v>
      </c>
      <c r="W143" s="184"/>
      <c r="X143" s="185"/>
      <c r="Y143" s="185"/>
      <c r="Z143" s="186"/>
      <c r="AA143" s="198">
        <f>(AB129+50+76)/18</f>
        <v>36.94444444444444</v>
      </c>
      <c r="AB143" s="184"/>
      <c r="AC143" s="185"/>
      <c r="AD143" s="185"/>
      <c r="AE143" s="186"/>
      <c r="AF143" s="198">
        <f>(AG129+38+45+38)/19</f>
        <v>38.8421052631579</v>
      </c>
      <c r="AG143" s="184"/>
      <c r="AH143" s="185"/>
      <c r="AI143" s="185"/>
      <c r="AJ143" s="186"/>
      <c r="AK143" s="199">
        <f>(AL129+32+30+32)/16</f>
        <v>39.25</v>
      </c>
      <c r="AL143" s="184"/>
      <c r="AM143" s="185"/>
      <c r="AN143" s="185"/>
      <c r="AO143" s="186"/>
      <c r="AP143" s="198">
        <f>(AQ129+38+38)/19</f>
        <v>33.10526315789474</v>
      </c>
      <c r="AQ143" s="184"/>
      <c r="AR143" s="185"/>
      <c r="AS143" s="185"/>
      <c r="AT143" s="186"/>
      <c r="AU143" s="198">
        <f>(AV129+36+36)/18</f>
        <v>34.77777777777778</v>
      </c>
      <c r="AV143" s="184"/>
      <c r="AW143" s="185"/>
      <c r="AX143" s="185"/>
      <c r="AY143" s="186"/>
      <c r="AZ143" s="198">
        <f>(BA129+34+34+26)/17</f>
        <v>39.294117647058826</v>
      </c>
      <c r="BA143" s="184"/>
      <c r="BB143" s="185"/>
      <c r="BC143" s="185"/>
      <c r="BD143" s="186"/>
      <c r="BE143" s="198">
        <f>(BF129+35+28+28+24)/14</f>
        <v>40.214285714285715</v>
      </c>
      <c r="BF143" s="187"/>
      <c r="BG143" s="188"/>
      <c r="BH143" s="188"/>
      <c r="BI143" s="189"/>
      <c r="BJ143" s="198">
        <f>(BK129)/20</f>
        <v>35.05</v>
      </c>
      <c r="BK143" s="198">
        <f>(BK129+40+48)/20</f>
        <v>39.45</v>
      </c>
      <c r="BL143" s="188"/>
      <c r="BM143" s="188"/>
      <c r="BN143" s="189"/>
      <c r="BO143" s="198"/>
      <c r="BP143" s="198">
        <f>(BP129+32+48+35)/17</f>
        <v>40</v>
      </c>
      <c r="BQ143" s="185"/>
      <c r="BR143" s="185"/>
      <c r="BS143" s="186"/>
      <c r="BT143" s="190"/>
      <c r="BU143" s="210"/>
    </row>
    <row r="144" spans="2:73" s="201" customFormat="1" ht="23.25" hidden="1">
      <c r="B144" s="200"/>
      <c r="F144" s="184"/>
      <c r="G144" s="184"/>
      <c r="H144" s="184"/>
      <c r="I144" s="184"/>
      <c r="J144" s="184"/>
      <c r="K144" s="184"/>
      <c r="L144" s="184"/>
      <c r="M144" s="184"/>
      <c r="N144" s="185"/>
      <c r="O144" s="185"/>
      <c r="P144" s="186"/>
      <c r="Q144" s="184"/>
      <c r="R144" s="184"/>
      <c r="S144" s="185"/>
      <c r="T144" s="185"/>
      <c r="U144" s="186"/>
      <c r="V144" s="184"/>
      <c r="W144" s="184"/>
      <c r="X144" s="185"/>
      <c r="Y144" s="185"/>
      <c r="Z144" s="186"/>
      <c r="AA144" s="184"/>
      <c r="AB144" s="184"/>
      <c r="AC144" s="185"/>
      <c r="AD144" s="185"/>
      <c r="AE144" s="186"/>
      <c r="AF144" s="184"/>
      <c r="AG144" s="184"/>
      <c r="AH144" s="185"/>
      <c r="AI144" s="185"/>
      <c r="AJ144" s="186"/>
      <c r="AK144" s="184"/>
      <c r="AL144" s="184"/>
      <c r="AM144" s="185"/>
      <c r="AN144" s="185"/>
      <c r="AO144" s="186"/>
      <c r="AP144" s="184"/>
      <c r="AQ144" s="184"/>
      <c r="AR144" s="185"/>
      <c r="AS144" s="185"/>
      <c r="AT144" s="186"/>
      <c r="AU144" s="184"/>
      <c r="AV144" s="184"/>
      <c r="AW144" s="185"/>
      <c r="AX144" s="185"/>
      <c r="AY144" s="186"/>
      <c r="AZ144" s="184"/>
      <c r="BA144" s="184"/>
      <c r="BB144" s="185"/>
      <c r="BC144" s="185"/>
      <c r="BD144" s="186"/>
      <c r="BE144" s="184"/>
      <c r="BF144" s="187"/>
      <c r="BG144" s="188"/>
      <c r="BH144" s="188"/>
      <c r="BI144" s="189"/>
      <c r="BJ144" s="187"/>
      <c r="BK144" s="187"/>
      <c r="BL144" s="188"/>
      <c r="BM144" s="188"/>
      <c r="BN144" s="189"/>
      <c r="BO144" s="184"/>
      <c r="BP144" s="184"/>
      <c r="BQ144" s="185"/>
      <c r="BR144" s="185"/>
      <c r="BS144" s="186"/>
      <c r="BT144" s="190"/>
      <c r="BU144" s="210"/>
    </row>
    <row r="145" spans="2:73" s="201" customFormat="1" ht="65.25" customHeight="1">
      <c r="B145" s="200"/>
      <c r="F145" s="596" t="s">
        <v>545</v>
      </c>
      <c r="G145" s="596"/>
      <c r="H145" s="596"/>
      <c r="I145" s="596"/>
      <c r="J145" s="596"/>
      <c r="K145" s="596"/>
      <c r="L145" s="198">
        <f>(L129+54+64)/(19+M138)</f>
        <v>56.333333333333336</v>
      </c>
      <c r="M145" s="184"/>
      <c r="N145" s="185"/>
      <c r="O145" s="185"/>
      <c r="P145" s="186"/>
      <c r="Q145" s="199">
        <f>(Q129)/(18+R138)</f>
        <v>48.75</v>
      </c>
      <c r="R145" s="184"/>
      <c r="S145" s="185"/>
      <c r="T145" s="185"/>
      <c r="U145" s="186"/>
      <c r="V145" s="184"/>
      <c r="W145" s="184"/>
      <c r="X145" s="185"/>
      <c r="Y145" s="185"/>
      <c r="Z145" s="186"/>
      <c r="AA145" s="184"/>
      <c r="AB145" s="184"/>
      <c r="AC145" s="185"/>
      <c r="AD145" s="185"/>
      <c r="AE145" s="186"/>
      <c r="AF145" s="184"/>
      <c r="AG145" s="184"/>
      <c r="AH145" s="185"/>
      <c r="AI145" s="185"/>
      <c r="AJ145" s="186"/>
      <c r="AK145" s="184"/>
      <c r="AL145" s="184"/>
      <c r="AM145" s="185"/>
      <c r="AN145" s="185"/>
      <c r="AO145" s="186"/>
      <c r="AP145" s="184"/>
      <c r="AQ145" s="184"/>
      <c r="AR145" s="185"/>
      <c r="AS145" s="185"/>
      <c r="AT145" s="186"/>
      <c r="AU145" s="184"/>
      <c r="AV145" s="184"/>
      <c r="AW145" s="185"/>
      <c r="AX145" s="185"/>
      <c r="AY145" s="186"/>
      <c r="AZ145" s="184"/>
      <c r="BA145" s="184"/>
      <c r="BB145" s="185"/>
      <c r="BC145" s="185"/>
      <c r="BD145" s="186"/>
      <c r="BE145" s="184"/>
      <c r="BF145" s="187"/>
      <c r="BG145" s="188"/>
      <c r="BH145" s="188"/>
      <c r="BI145" s="189"/>
      <c r="BJ145" s="187"/>
      <c r="BK145" s="187"/>
      <c r="BL145" s="188"/>
      <c r="BM145" s="188"/>
      <c r="BN145" s="189"/>
      <c r="BO145" s="184"/>
      <c r="BP145" s="184"/>
      <c r="BQ145" s="185"/>
      <c r="BR145" s="185"/>
      <c r="BS145" s="186"/>
      <c r="BT145" s="190"/>
      <c r="BU145" s="210"/>
    </row>
    <row r="146" spans="2:73" s="201" customFormat="1" ht="23.25">
      <c r="B146" s="200"/>
      <c r="F146" s="184"/>
      <c r="G146" s="184"/>
      <c r="H146" s="184"/>
      <c r="I146" s="184"/>
      <c r="J146" s="184"/>
      <c r="K146" s="184"/>
      <c r="L146" s="184"/>
      <c r="M146" s="184"/>
      <c r="N146" s="185"/>
      <c r="O146" s="185"/>
      <c r="P146" s="186"/>
      <c r="Q146" s="184"/>
      <c r="R146" s="184"/>
      <c r="S146" s="185"/>
      <c r="T146" s="185"/>
      <c r="U146" s="186"/>
      <c r="V146" s="184"/>
      <c r="W146" s="184"/>
      <c r="X146" s="185"/>
      <c r="Y146" s="185"/>
      <c r="Z146" s="186"/>
      <c r="AA146" s="184"/>
      <c r="AB146" s="184"/>
      <c r="AC146" s="185"/>
      <c r="AD146" s="185"/>
      <c r="AE146" s="186"/>
      <c r="AF146" s="184"/>
      <c r="AG146" s="184"/>
      <c r="AH146" s="185"/>
      <c r="AI146" s="185"/>
      <c r="AJ146" s="186"/>
      <c r="AK146" s="184"/>
      <c r="AL146" s="184"/>
      <c r="AM146" s="185"/>
      <c r="AN146" s="185"/>
      <c r="AO146" s="186"/>
      <c r="AP146" s="184"/>
      <c r="AQ146" s="184"/>
      <c r="AR146" s="185"/>
      <c r="AS146" s="185"/>
      <c r="AT146" s="186"/>
      <c r="AU146" s="184"/>
      <c r="AV146" s="184"/>
      <c r="AW146" s="185"/>
      <c r="AX146" s="185"/>
      <c r="AY146" s="186"/>
      <c r="AZ146" s="184"/>
      <c r="BA146" s="184"/>
      <c r="BB146" s="185"/>
      <c r="BC146" s="185"/>
      <c r="BD146" s="186"/>
      <c r="BE146" s="184"/>
      <c r="BF146" s="187"/>
      <c r="BG146" s="188"/>
      <c r="BH146" s="188"/>
      <c r="BI146" s="189"/>
      <c r="BJ146" s="187"/>
      <c r="BK146" s="187"/>
      <c r="BL146" s="188"/>
      <c r="BM146" s="188"/>
      <c r="BN146" s="189"/>
      <c r="BO146" s="184"/>
      <c r="BP146" s="184"/>
      <c r="BQ146" s="185"/>
      <c r="BR146" s="185"/>
      <c r="BS146" s="186"/>
      <c r="BT146" s="190"/>
      <c r="BU146" s="210"/>
    </row>
    <row r="147" spans="58:66" ht="20.25">
      <c r="BF147" s="69"/>
      <c r="BG147" s="70"/>
      <c r="BH147" s="70"/>
      <c r="BI147" s="83"/>
      <c r="BJ147" s="69"/>
      <c r="BK147" s="69"/>
      <c r="BL147" s="70"/>
      <c r="BM147" s="70"/>
      <c r="BN147" s="83"/>
    </row>
    <row r="148" spans="58:66" ht="20.25">
      <c r="BF148" s="69"/>
      <c r="BG148" s="70"/>
      <c r="BH148" s="70"/>
      <c r="BI148" s="83"/>
      <c r="BJ148" s="69"/>
      <c r="BK148" s="69"/>
      <c r="BL148" s="70"/>
      <c r="BM148" s="70"/>
      <c r="BN148" s="83"/>
    </row>
    <row r="149" spans="58:66" ht="20.25">
      <c r="BF149" s="69"/>
      <c r="BG149" s="70"/>
      <c r="BH149" s="70"/>
      <c r="BI149" s="83"/>
      <c r="BJ149" s="69"/>
      <c r="BK149" s="69"/>
      <c r="BL149" s="70"/>
      <c r="BM149" s="70"/>
      <c r="BN149" s="83"/>
    </row>
    <row r="150" spans="58:66" ht="20.25">
      <c r="BF150" s="69"/>
      <c r="BG150" s="70"/>
      <c r="BH150" s="70"/>
      <c r="BI150" s="83"/>
      <c r="BJ150" s="69"/>
      <c r="BK150" s="69"/>
      <c r="BL150" s="70"/>
      <c r="BM150" s="70"/>
      <c r="BN150" s="83"/>
    </row>
    <row r="151" spans="58:66" ht="20.25">
      <c r="BF151" s="69"/>
      <c r="BG151" s="70"/>
      <c r="BH151" s="70"/>
      <c r="BI151" s="83"/>
      <c r="BJ151" s="69"/>
      <c r="BK151" s="69"/>
      <c r="BL151" s="70"/>
      <c r="BM151" s="70"/>
      <c r="BN151" s="83"/>
    </row>
  </sheetData>
  <sheetProtection/>
  <mergeCells count="107">
    <mergeCell ref="F143:K143"/>
    <mergeCell ref="G136:K136"/>
    <mergeCell ref="F145:K145"/>
    <mergeCell ref="G139:K139"/>
    <mergeCell ref="G141:K141"/>
    <mergeCell ref="G137:K137"/>
    <mergeCell ref="F134:M134"/>
    <mergeCell ref="BJ132:BN132"/>
    <mergeCell ref="BO132:BS132"/>
    <mergeCell ref="AP133:AT133"/>
    <mergeCell ref="AU132:AY132"/>
    <mergeCell ref="AU133:AY133"/>
    <mergeCell ref="AK133:AO133"/>
    <mergeCell ref="AA133:AE133"/>
    <mergeCell ref="AF133:AJ133"/>
    <mergeCell ref="BU5:BU9"/>
    <mergeCell ref="AZ133:BD133"/>
    <mergeCell ref="BE133:BI133"/>
    <mergeCell ref="BJ133:BN133"/>
    <mergeCell ref="BO133:BS133"/>
    <mergeCell ref="BE132:BI132"/>
    <mergeCell ref="AZ131:BD131"/>
    <mergeCell ref="BE131:BI131"/>
    <mergeCell ref="BO130:BS130"/>
    <mergeCell ref="BO131:BS131"/>
    <mergeCell ref="B132:C132"/>
    <mergeCell ref="L132:P132"/>
    <mergeCell ref="Q132:U132"/>
    <mergeCell ref="V132:Z132"/>
    <mergeCell ref="AA132:AE132"/>
    <mergeCell ref="AZ132:BD132"/>
    <mergeCell ref="AF132:AJ132"/>
    <mergeCell ref="AK132:AO132"/>
    <mergeCell ref="B131:C131"/>
    <mergeCell ref="L131:P131"/>
    <mergeCell ref="Q131:U131"/>
    <mergeCell ref="AP130:AT130"/>
    <mergeCell ref="AP132:AT132"/>
    <mergeCell ref="B133:C133"/>
    <mergeCell ref="L133:P133"/>
    <mergeCell ref="Q133:U133"/>
    <mergeCell ref="V133:Z133"/>
    <mergeCell ref="AF130:AJ130"/>
    <mergeCell ref="AP131:AT131"/>
    <mergeCell ref="BJ130:BN130"/>
    <mergeCell ref="V131:Z131"/>
    <mergeCell ref="AA131:AE131"/>
    <mergeCell ref="AF131:AJ131"/>
    <mergeCell ref="AU131:AY131"/>
    <mergeCell ref="AK131:AO131"/>
    <mergeCell ref="BJ131:BN131"/>
    <mergeCell ref="B129:C129"/>
    <mergeCell ref="B130:C130"/>
    <mergeCell ref="L130:P130"/>
    <mergeCell ref="Q130:U130"/>
    <mergeCell ref="V130:Z130"/>
    <mergeCell ref="AA130:AE130"/>
    <mergeCell ref="BO8:BS8"/>
    <mergeCell ref="AZ7:BD7"/>
    <mergeCell ref="BE7:BI7"/>
    <mergeCell ref="BJ7:BN7"/>
    <mergeCell ref="BO7:BS7"/>
    <mergeCell ref="AP8:AT8"/>
    <mergeCell ref="AU8:AY8"/>
    <mergeCell ref="AZ8:BD8"/>
    <mergeCell ref="BE8:BI8"/>
    <mergeCell ref="BJ8:BN8"/>
    <mergeCell ref="Q8:U8"/>
    <mergeCell ref="V8:Z8"/>
    <mergeCell ref="AA8:AE8"/>
    <mergeCell ref="AF8:AJ8"/>
    <mergeCell ref="AZ6:BI6"/>
    <mergeCell ref="AU130:AY130"/>
    <mergeCell ref="AK8:AO8"/>
    <mergeCell ref="AZ130:BD130"/>
    <mergeCell ref="BE130:BI130"/>
    <mergeCell ref="AK130:AO130"/>
    <mergeCell ref="BJ6:BS6"/>
    <mergeCell ref="H7:H9"/>
    <mergeCell ref="I7:I9"/>
    <mergeCell ref="J7:J9"/>
    <mergeCell ref="K7:K9"/>
    <mergeCell ref="L7:P7"/>
    <mergeCell ref="Q7:U7"/>
    <mergeCell ref="V7:Z7"/>
    <mergeCell ref="AA7:AE7"/>
    <mergeCell ref="L8:P8"/>
    <mergeCell ref="G6:G9"/>
    <mergeCell ref="H6:K6"/>
    <mergeCell ref="L6:U6"/>
    <mergeCell ref="V6:AE6"/>
    <mergeCell ref="AF6:AO6"/>
    <mergeCell ref="AP6:AY6"/>
    <mergeCell ref="AF7:AJ7"/>
    <mergeCell ref="AK7:AO7"/>
    <mergeCell ref="AP7:AT7"/>
    <mergeCell ref="AU7:AY7"/>
    <mergeCell ref="B2:BU2"/>
    <mergeCell ref="B4:BT4"/>
    <mergeCell ref="B5:B9"/>
    <mergeCell ref="C5:C9"/>
    <mergeCell ref="D5:D9"/>
    <mergeCell ref="E5:E9"/>
    <mergeCell ref="F5:K5"/>
    <mergeCell ref="L5:BS5"/>
    <mergeCell ref="BT5:BT9"/>
    <mergeCell ref="F6:F9"/>
  </mergeCells>
  <conditionalFormatting sqref="F121:K121 F16:J16 AF12:BT12 R11:BT11 B54:C54 AF13:BS14 L16:BS16 L17:P17 V17:BS17 V33:BS33 F59:BS59 F39:J39 F123:J123 F17:I17 F25:I25 I26:J26 I65:J65 I28:I30 F26:G26 L25:BS26 F28:G30 F40:I40 L41:U42 L44:U44 AP41:BS42 F60:J60 F34:J34 L60:BS60 F35:I37 J63 F119 L45:AE45 AP44:BS44 AU45:BS45 J86 F86:G86 F63:G63 J74 F69:F71 F19:J23 F122:I122 L28:BS30 J66:J68 F65:G68 BT130:BT133 H106:BH107 H47:H48 F47:F48 L99:Z99 AP99:BS99 L63:BS63 L19:BS23 L75:AY75 L83:AN84 L86:AN87 AP86:BS87 L82:AM82 J79:J84 F79:G84 L104:BS105 BU92 F11:O11 F87:F89 Q130:Q132 AA130:AA133 AK130:AK132 AP130:AP132 AU130:AU132 AZ130:AZ132 BE130:BE132 BJ130:BJ131 BO130:BO131 BJ133 F100:F102 BU59 L101:BS102 BO133 L88:BS89 L39:BS40 AU82:AY82 BA82:BS82 AP83:BS84 BJ100:BU100 BU34 BU121 L130:L133 F32:I33 L33:P33 V32:BT32 BP137:BU139 F93:G99 J93:J99 BE75:BS75 N134:BU134 L51:BH51 BK51:BS51 L79:BS80 BN107:BP109 BN110 BN106:BR106 L135:BU136 BS106:BS110 U106:U111 BJ107:BM110 BJ111:BS111 H112:H116 K116:BT116 F104:F116 K108:BH114 BI106:BI114 K115:BO115 BJ112:BO114 BP112:BS115 J91 J49:J51 F91:G91 F49:G51 F92 F52:F53 L91:BS95 L52:BS53 G10:BT10 L65:BS71 F117:BT117 L100:BH100 L119:BS123 L34:BS37 F57:K57 I75:J75 I73:J73 F73:G75 L73:BS74 BT13:BT31 BT59:BT116 BT33:BT55 B56 F58:P58 F56:L56 N56:P56 F54:T54 B58 AF56:BT58 L125:BS125 BT119:BT125 L127:BT128 V54:BS54">
    <cfRule type="cellIs" priority="283" dxfId="176" operator="equal" stopIfTrue="1">
      <formula>0</formula>
    </cfRule>
  </conditionalFormatting>
  <conditionalFormatting sqref="P11:Q11 Q56:AE56 Q58:AE58">
    <cfRule type="cellIs" priority="281" dxfId="1" operator="equal" stopIfTrue="1">
      <formula>0</formula>
    </cfRule>
  </conditionalFormatting>
  <conditionalFormatting sqref="P31:Q31">
    <cfRule type="cellIs" priority="270" dxfId="1" operator="equal" stopIfTrue="1">
      <formula>0</formula>
    </cfRule>
  </conditionalFormatting>
  <conditionalFormatting sqref="AA57:AE57">
    <cfRule type="cellIs" priority="280" dxfId="1" operator="equal" stopIfTrue="1">
      <formula>0</formula>
    </cfRule>
  </conditionalFormatting>
  <conditionalFormatting sqref="R55:BS55 F55:O55">
    <cfRule type="cellIs" priority="277" dxfId="1" operator="equal" stopIfTrue="1">
      <formula>0</formula>
    </cfRule>
  </conditionalFormatting>
  <conditionalFormatting sqref="P55:Q55">
    <cfRule type="cellIs" priority="276" dxfId="1" operator="equal" stopIfTrue="1">
      <formula>0</formula>
    </cfRule>
  </conditionalFormatting>
  <conditionalFormatting sqref="R15:BS15 F15:O15">
    <cfRule type="cellIs" priority="275" dxfId="1" operator="equal" stopIfTrue="1">
      <formula>0</formula>
    </cfRule>
  </conditionalFormatting>
  <conditionalFormatting sqref="P15:Q15">
    <cfRule type="cellIs" priority="274" dxfId="1" operator="equal" stopIfTrue="1">
      <formula>0</formula>
    </cfRule>
  </conditionalFormatting>
  <conditionalFormatting sqref="Q32:U33">
    <cfRule type="cellIs" priority="272" dxfId="1" operator="equal" stopIfTrue="1">
      <formula>0</formula>
    </cfRule>
  </conditionalFormatting>
  <conditionalFormatting sqref="R31:BS31 F31:O31">
    <cfRule type="cellIs" priority="271" dxfId="1" operator="equal" stopIfTrue="1">
      <formula>0</formula>
    </cfRule>
  </conditionalFormatting>
  <conditionalFormatting sqref="Q17:U17">
    <cfRule type="cellIs" priority="269" dxfId="1" operator="equal" stopIfTrue="1">
      <formula>0</formula>
    </cfRule>
  </conditionalFormatting>
  <conditionalFormatting sqref="AK61:BS61">
    <cfRule type="cellIs" priority="268" dxfId="1" operator="equal" stopIfTrue="1">
      <formula>0</formula>
    </cfRule>
  </conditionalFormatting>
  <conditionalFormatting sqref="F61:G61 I61:J61 L61:U61 AF61:AJ61">
    <cfRule type="cellIs" priority="267" dxfId="1" operator="equal" stopIfTrue="1">
      <formula>0</formula>
    </cfRule>
  </conditionalFormatting>
  <conditionalFormatting sqref="V61:AE61">
    <cfRule type="cellIs" priority="265" dxfId="1" operator="equal" stopIfTrue="1">
      <formula>0</formula>
    </cfRule>
  </conditionalFormatting>
  <conditionalFormatting sqref="F46:BM46 BO46:BS46">
    <cfRule type="cellIs" priority="262" dxfId="1" operator="equal" stopIfTrue="1">
      <formula>0</formula>
    </cfRule>
  </conditionalFormatting>
  <conditionalFormatting sqref="R18:BS18 F18:O18">
    <cfRule type="cellIs" priority="261" dxfId="1" operator="equal" stopIfTrue="1">
      <formula>0</formula>
    </cfRule>
  </conditionalFormatting>
  <conditionalFormatting sqref="P18:Q18">
    <cfRule type="cellIs" priority="260" dxfId="1" operator="equal" stopIfTrue="1">
      <formula>0</formula>
    </cfRule>
  </conditionalFormatting>
  <conditionalFormatting sqref="F24:J24 L24:BS24">
    <cfRule type="cellIs" priority="259" dxfId="1" operator="equal" stopIfTrue="1">
      <formula>0</formula>
    </cfRule>
  </conditionalFormatting>
  <conditionalFormatting sqref="F27:J27 L27:BS27">
    <cfRule type="cellIs" priority="258" dxfId="1" operator="equal" stopIfTrue="1">
      <formula>0</formula>
    </cfRule>
  </conditionalFormatting>
  <conditionalFormatting sqref="F38:J38 L38 N38:BS38">
    <cfRule type="cellIs" priority="257" dxfId="1" operator="equal" stopIfTrue="1">
      <formula>0</formula>
    </cfRule>
  </conditionalFormatting>
  <conditionalFormatting sqref="I78:J78 F78:G78 L78:BS78">
    <cfRule type="cellIs" priority="256" dxfId="1" operator="equal" stopIfTrue="1">
      <formula>0</formula>
    </cfRule>
  </conditionalFormatting>
  <conditionalFormatting sqref="I103:J103 F103:G103 L103:BS103">
    <cfRule type="cellIs" priority="255" dxfId="1" operator="equal" stopIfTrue="1">
      <formula>0</formula>
    </cfRule>
  </conditionalFormatting>
  <conditionalFormatting sqref="AK41:AO42">
    <cfRule type="cellIs" priority="254" dxfId="1" operator="equal" stopIfTrue="1">
      <formula>0</formula>
    </cfRule>
  </conditionalFormatting>
  <conditionalFormatting sqref="AF41 AH41:AJ41">
    <cfRule type="cellIs" priority="253" dxfId="1" operator="equal" stopIfTrue="1">
      <formula>0</formula>
    </cfRule>
  </conditionalFormatting>
  <conditionalFormatting sqref="F41:H41">
    <cfRule type="cellIs" priority="252" dxfId="1" operator="equal" stopIfTrue="1">
      <formula>0</formula>
    </cfRule>
  </conditionalFormatting>
  <conditionalFormatting sqref="F42:I42">
    <cfRule type="cellIs" priority="251" dxfId="1" operator="equal" stopIfTrue="1">
      <formula>0</formula>
    </cfRule>
  </conditionalFormatting>
  <conditionalFormatting sqref="F44:I44">
    <cfRule type="cellIs" priority="250" dxfId="1" operator="equal" stopIfTrue="1">
      <formula>0</formula>
    </cfRule>
  </conditionalFormatting>
  <conditionalFormatting sqref="I45:J45">
    <cfRule type="cellIs" priority="247" dxfId="1" operator="equal" stopIfTrue="1">
      <formula>0</formula>
    </cfRule>
  </conditionalFormatting>
  <conditionalFormatting sqref="F45:H45">
    <cfRule type="cellIs" priority="249" dxfId="1" operator="equal" stopIfTrue="1">
      <formula>0</formula>
    </cfRule>
  </conditionalFormatting>
  <conditionalFormatting sqref="I41:J41">
    <cfRule type="cellIs" priority="248" dxfId="1" operator="equal" stopIfTrue="1">
      <formula>0</formula>
    </cfRule>
  </conditionalFormatting>
  <conditionalFormatting sqref="L49:BS49 L50:AA50 AK50:BS50 AC50:AE50">
    <cfRule type="cellIs" priority="245" dxfId="1" operator="equal" stopIfTrue="1">
      <formula>0</formula>
    </cfRule>
  </conditionalFormatting>
  <conditionalFormatting sqref="F43:I43 L43:BS43">
    <cfRule type="cellIs" priority="244" dxfId="1" operator="equal" stopIfTrue="1">
      <formula>0</formula>
    </cfRule>
  </conditionalFormatting>
  <conditionalFormatting sqref="L81:AN81 AN82 AP81:BS81 AO81:AO87">
    <cfRule type="cellIs" priority="243" dxfId="1" operator="equal" stopIfTrue="1">
      <formula>0</formula>
    </cfRule>
  </conditionalFormatting>
  <conditionalFormatting sqref="I85:J85 F85:G85 L85:AN85 AP85:BS85">
    <cfRule type="cellIs" priority="242" dxfId="1" operator="equal" stopIfTrue="1">
      <formula>0</formula>
    </cfRule>
  </conditionalFormatting>
  <conditionalFormatting sqref="L96:BS96 L98:AZ98 L97:AU97 AW97:BS97 BB98:BS98">
    <cfRule type="cellIs" priority="241" dxfId="1" operator="equal" stopIfTrue="1">
      <formula>0</formula>
    </cfRule>
  </conditionalFormatting>
  <conditionalFormatting sqref="AF45:AI45">
    <cfRule type="cellIs" priority="238" dxfId="1" operator="equal" stopIfTrue="1">
      <formula>0</formula>
    </cfRule>
  </conditionalFormatting>
  <conditionalFormatting sqref="AP45:AT45">
    <cfRule type="cellIs" priority="237" dxfId="1" operator="equal" stopIfTrue="1">
      <formula>0</formula>
    </cfRule>
  </conditionalFormatting>
  <conditionalFormatting sqref="AK44:AO44">
    <cfRule type="cellIs" priority="234" dxfId="1" operator="equal" stopIfTrue="1">
      <formula>0</formula>
    </cfRule>
  </conditionalFormatting>
  <conditionalFormatting sqref="I90:J90 F90:G90 L90:BS90">
    <cfRule type="cellIs" priority="233" dxfId="1" operator="equal" stopIfTrue="1">
      <formula>0</formula>
    </cfRule>
  </conditionalFormatting>
  <conditionalFormatting sqref="I72:J72 F72:G72 L72:BS72">
    <cfRule type="cellIs" priority="232" dxfId="1" operator="equal" stopIfTrue="1">
      <formula>0</formula>
    </cfRule>
  </conditionalFormatting>
  <conditionalFormatting sqref="V42:Z42">
    <cfRule type="cellIs" priority="230" dxfId="1" operator="equal" stopIfTrue="1">
      <formula>0</formula>
    </cfRule>
  </conditionalFormatting>
  <conditionalFormatting sqref="AJ45">
    <cfRule type="cellIs" priority="228" dxfId="1" operator="equal" stopIfTrue="1">
      <formula>0</formula>
    </cfRule>
  </conditionalFormatting>
  <conditionalFormatting sqref="F129">
    <cfRule type="cellIs" priority="289" dxfId="133" operator="lessThan" stopIfTrue="1">
      <formula>'ПРОЕКТ ПЛАНА ДЛЯ РАССМ'!#REF!</formula>
    </cfRule>
  </conditionalFormatting>
  <conditionalFormatting sqref="L48:BS48">
    <cfRule type="cellIs" priority="217" dxfId="1" operator="equal" stopIfTrue="1">
      <formula>0</formula>
    </cfRule>
  </conditionalFormatting>
  <conditionalFormatting sqref="I62:J62 F62:G62 L62:BS62">
    <cfRule type="cellIs" priority="216" dxfId="1" operator="equal" stopIfTrue="1">
      <formula>0</formula>
    </cfRule>
  </conditionalFormatting>
  <conditionalFormatting sqref="J64 F64:G64 L64:AE64 AP64:BS64">
    <cfRule type="cellIs" priority="214" dxfId="1" operator="equal" stopIfTrue="1">
      <formula>0</formula>
    </cfRule>
  </conditionalFormatting>
  <conditionalFormatting sqref="BU10:BU11 BU21 BU65 BU40 BU130:BU133">
    <cfRule type="cellIs" priority="210" dxfId="1" operator="equal" stopIfTrue="1">
      <formula>0</formula>
    </cfRule>
  </conditionalFormatting>
  <conditionalFormatting sqref="BU54">
    <cfRule type="cellIs" priority="209" dxfId="1" operator="equal" stopIfTrue="1">
      <formula>0</formula>
    </cfRule>
  </conditionalFormatting>
  <conditionalFormatting sqref="BU55">
    <cfRule type="cellIs" priority="208" dxfId="1" operator="equal" stopIfTrue="1">
      <formula>0</formula>
    </cfRule>
  </conditionalFormatting>
  <conditionalFormatting sqref="BU15">
    <cfRule type="cellIs" priority="207" dxfId="1" operator="equal" stopIfTrue="1">
      <formula>0</formula>
    </cfRule>
  </conditionalFormatting>
  <conditionalFormatting sqref="BU31">
    <cfRule type="cellIs" priority="206" dxfId="1" operator="equal" stopIfTrue="1">
      <formula>0</formula>
    </cfRule>
  </conditionalFormatting>
  <conditionalFormatting sqref="BU18">
    <cfRule type="cellIs" priority="203" dxfId="1" operator="equal" stopIfTrue="1">
      <formula>0</formula>
    </cfRule>
  </conditionalFormatting>
  <conditionalFormatting sqref="BU24">
    <cfRule type="cellIs" priority="202" dxfId="1" operator="equal" stopIfTrue="1">
      <formula>0</formula>
    </cfRule>
  </conditionalFormatting>
  <conditionalFormatting sqref="BU27">
    <cfRule type="cellIs" priority="201" dxfId="1" operator="equal" stopIfTrue="1">
      <formula>0</formula>
    </cfRule>
  </conditionalFormatting>
  <conditionalFormatting sqref="BU78">
    <cfRule type="cellIs" priority="199" dxfId="1" operator="equal" stopIfTrue="1">
      <formula>0</formula>
    </cfRule>
  </conditionalFormatting>
  <conditionalFormatting sqref="BU103">
    <cfRule type="cellIs" priority="198" dxfId="1" operator="equal" stopIfTrue="1">
      <formula>0</formula>
    </cfRule>
  </conditionalFormatting>
  <conditionalFormatting sqref="BU43">
    <cfRule type="cellIs" priority="196" dxfId="1" operator="equal" stopIfTrue="1">
      <formula>0</formula>
    </cfRule>
  </conditionalFormatting>
  <conditionalFormatting sqref="BU81">
    <cfRule type="cellIs" priority="195" dxfId="1" operator="equal" stopIfTrue="1">
      <formula>0</formula>
    </cfRule>
  </conditionalFormatting>
  <conditionalFormatting sqref="BU85">
    <cfRule type="cellIs" priority="194" dxfId="1" operator="equal" stopIfTrue="1">
      <formula>0</formula>
    </cfRule>
  </conditionalFormatting>
  <conditionalFormatting sqref="BU96">
    <cfRule type="cellIs" priority="193" dxfId="1" operator="equal" stopIfTrue="1">
      <formula>0</formula>
    </cfRule>
  </conditionalFormatting>
  <conditionalFormatting sqref="BU90">
    <cfRule type="cellIs" priority="192" dxfId="1" operator="equal" stopIfTrue="1">
      <formula>0</formula>
    </cfRule>
  </conditionalFormatting>
  <conditionalFormatting sqref="BU72">
    <cfRule type="cellIs" priority="191" dxfId="1" operator="equal" stopIfTrue="1">
      <formula>0</formula>
    </cfRule>
  </conditionalFormatting>
  <conditionalFormatting sqref="BU62">
    <cfRule type="cellIs" priority="190" dxfId="1" operator="equal" stopIfTrue="1">
      <formula>0</formula>
    </cfRule>
  </conditionalFormatting>
  <conditionalFormatting sqref="L47:BS47">
    <cfRule type="cellIs" priority="185" dxfId="1" operator="equal" stopIfTrue="1">
      <formula>0</formula>
    </cfRule>
  </conditionalFormatting>
  <conditionalFormatting sqref="BQ107:BR109">
    <cfRule type="cellIs" priority="181" dxfId="1" operator="equal" stopIfTrue="1">
      <formula>0</formula>
    </cfRule>
  </conditionalFormatting>
  <conditionalFormatting sqref="J124 F124:G124 L124:BS124">
    <cfRule type="cellIs" priority="177" dxfId="1" operator="equal" stopIfTrue="1">
      <formula>0</formula>
    </cfRule>
  </conditionalFormatting>
  <conditionalFormatting sqref="BX78:BY116 BX1:BY75 BX119:BY65536">
    <cfRule type="cellIs" priority="176" dxfId="105" operator="equal" stopIfTrue="1">
      <formula>0</formula>
    </cfRule>
  </conditionalFormatting>
  <conditionalFormatting sqref="F76 L76:BS76">
    <cfRule type="cellIs" priority="163" dxfId="1" operator="equal" stopIfTrue="1">
      <formula>0</formula>
    </cfRule>
  </conditionalFormatting>
  <conditionalFormatting sqref="BX76:BY76">
    <cfRule type="cellIs" priority="161" dxfId="105" operator="equal" stopIfTrue="1">
      <formula>0</formula>
    </cfRule>
  </conditionalFormatting>
  <conditionalFormatting sqref="L77:BS77 H77 F77">
    <cfRule type="cellIs" priority="160" dxfId="1" operator="equal" stopIfTrue="1">
      <formula>0</formula>
    </cfRule>
  </conditionalFormatting>
  <conditionalFormatting sqref="BX77:BY77">
    <cfRule type="cellIs" priority="157" dxfId="105" operator="equal" stopIfTrue="1">
      <formula>0</formula>
    </cfRule>
  </conditionalFormatting>
  <conditionalFormatting sqref="AA99:AE99">
    <cfRule type="cellIs" priority="155" dxfId="1" operator="equal" stopIfTrue="1">
      <formula>0</formula>
    </cfRule>
  </conditionalFormatting>
  <conditionalFormatting sqref="AA42:AE42">
    <cfRule type="cellIs" priority="149" dxfId="1" operator="equal" stopIfTrue="1">
      <formula>0</formula>
    </cfRule>
  </conditionalFormatting>
  <conditionalFormatting sqref="AF44:AI44">
    <cfRule type="cellIs" priority="151" dxfId="1" operator="equal" stopIfTrue="1">
      <formula>0</formula>
    </cfRule>
  </conditionalFormatting>
  <conditionalFormatting sqref="AJ44">
    <cfRule type="cellIs" priority="150" dxfId="1" operator="equal" stopIfTrue="1">
      <formula>0</formula>
    </cfRule>
  </conditionalFormatting>
  <conditionalFormatting sqref="AF42:AI42 AG41">
    <cfRule type="cellIs" priority="148" dxfId="1" operator="equal" stopIfTrue="1">
      <formula>0</formula>
    </cfRule>
  </conditionalFormatting>
  <conditionalFormatting sqref="AJ42">
    <cfRule type="cellIs" priority="147" dxfId="1" operator="equal" stopIfTrue="1">
      <formula>0</formula>
    </cfRule>
  </conditionalFormatting>
  <conditionalFormatting sqref="AF99:AK99 AM99:AO99">
    <cfRule type="cellIs" priority="146" dxfId="1" operator="equal" stopIfTrue="1">
      <formula>0</formula>
    </cfRule>
  </conditionalFormatting>
  <conditionalFormatting sqref="AL99">
    <cfRule type="cellIs" priority="145" dxfId="1" operator="equal" stopIfTrue="1">
      <formula>0</formula>
    </cfRule>
  </conditionalFormatting>
  <conditionalFormatting sqref="AF50:AJ50">
    <cfRule type="cellIs" priority="137" dxfId="1" operator="equal" stopIfTrue="1">
      <formula>0</formula>
    </cfRule>
  </conditionalFormatting>
  <conditionalFormatting sqref="V130:V132">
    <cfRule type="cellIs" priority="134" dxfId="1" operator="equal" stopIfTrue="1">
      <formula>0</formula>
    </cfRule>
  </conditionalFormatting>
  <conditionalFormatting sqref="AF130:AF132">
    <cfRule type="cellIs" priority="133" dxfId="1" operator="equal" stopIfTrue="1">
      <formula>0</formula>
    </cfRule>
  </conditionalFormatting>
  <conditionalFormatting sqref="AK45:AN45">
    <cfRule type="cellIs" priority="132" dxfId="1" operator="equal" stopIfTrue="1">
      <formula>0</formula>
    </cfRule>
  </conditionalFormatting>
  <conditionalFormatting sqref="BJ132">
    <cfRule type="cellIs" priority="128" dxfId="1" operator="equal" stopIfTrue="1">
      <formula>0</formula>
    </cfRule>
  </conditionalFormatting>
  <conditionalFormatting sqref="Z41">
    <cfRule type="cellIs" priority="127" dxfId="1" operator="equal" stopIfTrue="1">
      <formula>0</formula>
    </cfRule>
  </conditionalFormatting>
  <conditionalFormatting sqref="V41:Y41">
    <cfRule type="cellIs" priority="126" dxfId="1" operator="equal" stopIfTrue="1">
      <formula>0</formula>
    </cfRule>
  </conditionalFormatting>
  <conditionalFormatting sqref="AA41 AC41:AD41">
    <cfRule type="cellIs" priority="125" dxfId="1" operator="equal" stopIfTrue="1">
      <formula>0</formula>
    </cfRule>
  </conditionalFormatting>
  <conditionalFormatting sqref="AB41">
    <cfRule type="cellIs" priority="124" dxfId="1" operator="equal" stopIfTrue="1">
      <formula>0</formula>
    </cfRule>
  </conditionalFormatting>
  <conditionalFormatting sqref="AE41">
    <cfRule type="cellIs" priority="123" dxfId="1" operator="equal" stopIfTrue="1">
      <formula>0</formula>
    </cfRule>
  </conditionalFormatting>
  <conditionalFormatting sqref="V44:Z44">
    <cfRule type="cellIs" priority="120" dxfId="1" operator="equal" stopIfTrue="1">
      <formula>0</formula>
    </cfRule>
  </conditionalFormatting>
  <conditionalFormatting sqref="AA44:AD44">
    <cfRule type="cellIs" priority="119" dxfId="1" operator="equal" stopIfTrue="1">
      <formula>0</formula>
    </cfRule>
  </conditionalFormatting>
  <conditionalFormatting sqref="BN46">
    <cfRule type="cellIs" priority="116" dxfId="1" operator="equal" stopIfTrue="1">
      <formula>0</formula>
    </cfRule>
  </conditionalFormatting>
  <conditionalFormatting sqref="AE44">
    <cfRule type="cellIs" priority="114" dxfId="1" operator="equal" stopIfTrue="1">
      <formula>0</formula>
    </cfRule>
  </conditionalFormatting>
  <conditionalFormatting sqref="AO45">
    <cfRule type="cellIs" priority="113" dxfId="1" operator="equal" stopIfTrue="1">
      <formula>0</formula>
    </cfRule>
  </conditionalFormatting>
  <conditionalFormatting sqref="BO132">
    <cfRule type="cellIs" priority="112" dxfId="1" operator="equal" stopIfTrue="1">
      <formula>0</formula>
    </cfRule>
  </conditionalFormatting>
  <conditionalFormatting sqref="AZ82">
    <cfRule type="cellIs" priority="110" dxfId="1" operator="equal" stopIfTrue="1">
      <formula>0</formula>
    </cfRule>
  </conditionalFormatting>
  <conditionalFormatting sqref="BI100">
    <cfRule type="cellIs" priority="109" dxfId="1" operator="equal" stopIfTrue="1">
      <formula>0</formula>
    </cfRule>
  </conditionalFormatting>
  <conditionalFormatting sqref="F10">
    <cfRule type="cellIs" priority="108" dxfId="1" operator="equal" stopIfTrue="1">
      <formula>0</formula>
    </cfRule>
  </conditionalFormatting>
  <conditionalFormatting sqref="AF133">
    <cfRule type="cellIs" priority="107" dxfId="1" operator="equal" stopIfTrue="1">
      <formula>0</formula>
    </cfRule>
  </conditionalFormatting>
  <conditionalFormatting sqref="AK133">
    <cfRule type="cellIs" priority="105" dxfId="1" operator="equal" stopIfTrue="1">
      <formula>0</formula>
    </cfRule>
  </conditionalFormatting>
  <conditionalFormatting sqref="L32:P32">
    <cfRule type="cellIs" priority="104" dxfId="1" operator="equal" stopIfTrue="1">
      <formula>0</formula>
    </cfRule>
  </conditionalFormatting>
  <conditionalFormatting sqref="L137:BO138">
    <cfRule type="cellIs" priority="103" dxfId="1" operator="equal" stopIfTrue="1">
      <formula>0</formula>
    </cfRule>
  </conditionalFormatting>
  <conditionalFormatting sqref="AV97">
    <cfRule type="cellIs" priority="89" dxfId="1" operator="equal" stopIfTrue="1">
      <formula>0</formula>
    </cfRule>
  </conditionalFormatting>
  <conditionalFormatting sqref="BA98">
    <cfRule type="cellIs" priority="88" dxfId="1" operator="equal" stopIfTrue="1">
      <formula>0</formula>
    </cfRule>
  </conditionalFormatting>
  <conditionalFormatting sqref="L139:BO140 L141:P141 R141:BO141">
    <cfRule type="cellIs" priority="87" dxfId="1" operator="equal" stopIfTrue="1">
      <formula>0</formula>
    </cfRule>
  </conditionalFormatting>
  <conditionalFormatting sqref="L141">
    <cfRule type="cellIs" priority="86" dxfId="4" operator="greaterThan" stopIfTrue="1">
      <formula>$L$122</formula>
    </cfRule>
  </conditionalFormatting>
  <conditionalFormatting sqref="V141">
    <cfRule type="cellIs" priority="84" dxfId="5" operator="greaterThan" stopIfTrue="1">
      <formula>$V$122</formula>
    </cfRule>
    <cfRule type="cellIs" priority="85" dxfId="4" operator="greaterThan" stopIfTrue="1">
      <formula>$Q$122</formula>
    </cfRule>
  </conditionalFormatting>
  <conditionalFormatting sqref="AF141">
    <cfRule type="cellIs" priority="83" dxfId="5" operator="greaterThan" stopIfTrue="1">
      <formula>$AF$122</formula>
    </cfRule>
  </conditionalFormatting>
  <conditionalFormatting sqref="AK141">
    <cfRule type="cellIs" priority="82" dxfId="5" operator="greaterThan" stopIfTrue="1">
      <formula>$AK$122</formula>
    </cfRule>
  </conditionalFormatting>
  <conditionalFormatting sqref="AP141">
    <cfRule type="cellIs" priority="81" dxfId="5" operator="greaterThan" stopIfTrue="1">
      <formula>$AP$122</formula>
    </cfRule>
  </conditionalFormatting>
  <conditionalFormatting sqref="AU141">
    <cfRule type="cellIs" priority="80" dxfId="5" operator="greaterThan" stopIfTrue="1">
      <formula>$AU$122</formula>
    </cfRule>
  </conditionalFormatting>
  <conditionalFormatting sqref="AZ141">
    <cfRule type="cellIs" priority="78" dxfId="5" operator="greaterThan" stopIfTrue="1">
      <formula>$AZ$122</formula>
    </cfRule>
    <cfRule type="cellIs" priority="79" dxfId="5" operator="greaterThan" stopIfTrue="1">
      <formula>$AZ$122</formula>
    </cfRule>
  </conditionalFormatting>
  <conditionalFormatting sqref="BE141">
    <cfRule type="cellIs" priority="77" dxfId="5" operator="greaterThan" stopIfTrue="1">
      <formula>$BE$122</formula>
    </cfRule>
  </conditionalFormatting>
  <conditionalFormatting sqref="BJ141">
    <cfRule type="cellIs" priority="76" dxfId="5" operator="greaterThan" stopIfTrue="1">
      <formula>$BJ$122</formula>
    </cfRule>
  </conditionalFormatting>
  <conditionalFormatting sqref="BO141">
    <cfRule type="cellIs" priority="75" dxfId="5" operator="greaterThan" stopIfTrue="1">
      <formula>$BO$122</formula>
    </cfRule>
  </conditionalFormatting>
  <conditionalFormatting sqref="Q141">
    <cfRule type="cellIs" priority="73" dxfId="1" operator="equal" stopIfTrue="1">
      <formula>0</formula>
    </cfRule>
  </conditionalFormatting>
  <conditionalFormatting sqref="Q141">
    <cfRule type="cellIs" priority="72" dxfId="4" operator="greaterThan" stopIfTrue="1">
      <formula>$L$122</formula>
    </cfRule>
  </conditionalFormatting>
  <conditionalFormatting sqref="V141">
    <cfRule type="cellIs" priority="71" dxfId="4" operator="greaterThan" stopIfTrue="1">
      <formula>$L$122</formula>
    </cfRule>
  </conditionalFormatting>
  <conditionalFormatting sqref="AA141">
    <cfRule type="cellIs" priority="70" dxfId="4" operator="greaterThan" stopIfTrue="1">
      <formula>$L$122</formula>
    </cfRule>
  </conditionalFormatting>
  <conditionalFormatting sqref="AF141">
    <cfRule type="cellIs" priority="69" dxfId="4" operator="greaterThan" stopIfTrue="1">
      <formula>$L$122</formula>
    </cfRule>
  </conditionalFormatting>
  <conditionalFormatting sqref="AK141">
    <cfRule type="cellIs" priority="68" dxfId="4" operator="greaterThan" stopIfTrue="1">
      <formula>$L$122</formula>
    </cfRule>
  </conditionalFormatting>
  <conditionalFormatting sqref="AP141">
    <cfRule type="cellIs" priority="67" dxfId="4" operator="greaterThan" stopIfTrue="1">
      <formula>$L$122</formula>
    </cfRule>
  </conditionalFormatting>
  <conditionalFormatting sqref="AU141">
    <cfRule type="cellIs" priority="66" dxfId="4" operator="greaterThan" stopIfTrue="1">
      <formula>$L$122</formula>
    </cfRule>
  </conditionalFormatting>
  <conditionalFormatting sqref="AZ141">
    <cfRule type="cellIs" priority="65" dxfId="4" operator="greaterThan" stopIfTrue="1">
      <formula>$L$122</formula>
    </cfRule>
  </conditionalFormatting>
  <conditionalFormatting sqref="BE141">
    <cfRule type="cellIs" priority="64" dxfId="4" operator="greaterThan" stopIfTrue="1">
      <formula>$L$122</formula>
    </cfRule>
  </conditionalFormatting>
  <conditionalFormatting sqref="BJ141">
    <cfRule type="cellIs" priority="63" dxfId="4" operator="greaterThan" stopIfTrue="1">
      <formula>$L$122</formula>
    </cfRule>
  </conditionalFormatting>
  <conditionalFormatting sqref="BO141">
    <cfRule type="cellIs" priority="62" dxfId="4" operator="greaterThan" stopIfTrue="1">
      <formula>$L$122</formula>
    </cfRule>
  </conditionalFormatting>
  <conditionalFormatting sqref="BJ51">
    <cfRule type="cellIs" priority="58" dxfId="1" operator="equal" stopIfTrue="1">
      <formula>0</formula>
    </cfRule>
  </conditionalFormatting>
  <conditionalFormatting sqref="BI51">
    <cfRule type="cellIs" priority="57" dxfId="1" operator="equal" stopIfTrue="1">
      <formula>0</formula>
    </cfRule>
  </conditionalFormatting>
  <conditionalFormatting sqref="M38">
    <cfRule type="cellIs" priority="56" dxfId="1" operator="equal" stopIfTrue="1">
      <formula>0</formula>
    </cfRule>
  </conditionalFormatting>
  <conditionalFormatting sqref="AF64:AO64">
    <cfRule type="cellIs" priority="55" dxfId="1" operator="equal" stopIfTrue="1">
      <formula>0</formula>
    </cfRule>
  </conditionalFormatting>
  <conditionalFormatting sqref="BE133">
    <cfRule type="cellIs" priority="46" dxfId="1" operator="equal" stopIfTrue="1">
      <formula>0</formula>
    </cfRule>
  </conditionalFormatting>
  <conditionalFormatting sqref="V133">
    <cfRule type="cellIs" priority="51" dxfId="1" operator="equal" stopIfTrue="1">
      <formula>0</formula>
    </cfRule>
  </conditionalFormatting>
  <conditionalFormatting sqref="AP133">
    <cfRule type="cellIs" priority="49" dxfId="1" operator="equal" stopIfTrue="1">
      <formula>0</formula>
    </cfRule>
  </conditionalFormatting>
  <conditionalFormatting sqref="AU133">
    <cfRule type="cellIs" priority="48" dxfId="1" operator="equal" stopIfTrue="1">
      <formula>0</formula>
    </cfRule>
  </conditionalFormatting>
  <conditionalFormatting sqref="AZ133">
    <cfRule type="cellIs" priority="47" dxfId="1" operator="equal" stopIfTrue="1">
      <formula>0</formula>
    </cfRule>
  </conditionalFormatting>
  <conditionalFormatting sqref="Q13">
    <cfRule type="cellIs" priority="40" dxfId="1" operator="equal" stopIfTrue="1">
      <formula>0</formula>
    </cfRule>
  </conditionalFormatting>
  <conditionalFormatting sqref="V12:AE12 L13:O13 S13:AD13">
    <cfRule type="cellIs" priority="43" dxfId="1" operator="equal" stopIfTrue="1">
      <formula>0</formula>
    </cfRule>
  </conditionalFormatting>
  <conditionalFormatting sqref="L14:AE14 R13">
    <cfRule type="cellIs" priority="42" dxfId="1" operator="equal" stopIfTrue="1">
      <formula>0</formula>
    </cfRule>
  </conditionalFormatting>
  <conditionalFormatting sqref="P13">
    <cfRule type="cellIs" priority="41" dxfId="1" operator="equal" stopIfTrue="1">
      <formula>0</formula>
    </cfRule>
  </conditionalFormatting>
  <conditionalFormatting sqref="R12:U12">
    <cfRule type="cellIs" priority="39" dxfId="1" operator="equal" stopIfTrue="1">
      <formula>0</formula>
    </cfRule>
  </conditionalFormatting>
  <conditionalFormatting sqref="L12:O12">
    <cfRule type="cellIs" priority="38" dxfId="1" operator="equal" stopIfTrue="1">
      <formula>0</formula>
    </cfRule>
  </conditionalFormatting>
  <conditionalFormatting sqref="P12">
    <cfRule type="cellIs" priority="37" dxfId="1" operator="equal" stopIfTrue="1">
      <formula>0</formula>
    </cfRule>
  </conditionalFormatting>
  <conditionalFormatting sqref="Q12">
    <cfRule type="cellIs" priority="36" dxfId="1" operator="equal" stopIfTrue="1">
      <formula>0</formula>
    </cfRule>
  </conditionalFormatting>
  <conditionalFormatting sqref="V57:Z57">
    <cfRule type="cellIs" priority="34" dxfId="1" operator="equal" stopIfTrue="1">
      <formula>0</formula>
    </cfRule>
  </conditionalFormatting>
  <conditionalFormatting sqref="Q57:U57">
    <cfRule type="cellIs" priority="33" dxfId="1" operator="equal" stopIfTrue="1">
      <formula>0</formula>
    </cfRule>
  </conditionalFormatting>
  <conditionalFormatting sqref="AE12:AE14">
    <cfRule type="cellIs" priority="31" dxfId="1" operator="equal" stopIfTrue="1">
      <formula>0</formula>
    </cfRule>
  </conditionalFormatting>
  <conditionalFormatting sqref="BO110:BP110">
    <cfRule type="cellIs" priority="27" dxfId="1" operator="equal" stopIfTrue="1">
      <formula>0</formula>
    </cfRule>
  </conditionalFormatting>
  <conditionalFormatting sqref="BQ110:BR110">
    <cfRule type="cellIs" priority="26" dxfId="1" operator="equal" stopIfTrue="1">
      <formula>0</formula>
    </cfRule>
  </conditionalFormatting>
  <conditionalFormatting sqref="BJ106:BM106">
    <cfRule type="cellIs" priority="25" dxfId="1" operator="equal" stopIfTrue="1">
      <formula>0</formula>
    </cfRule>
  </conditionalFormatting>
  <conditionalFormatting sqref="I109:I110 H111">
    <cfRule type="cellIs" priority="24" dxfId="1" operator="equal" stopIfTrue="1">
      <formula>0</formula>
    </cfRule>
  </conditionalFormatting>
  <conditionalFormatting sqref="BU117">
    <cfRule type="cellIs" priority="20" dxfId="1" operator="equal" stopIfTrue="1">
      <formula>0</formula>
    </cfRule>
  </conditionalFormatting>
  <conditionalFormatting sqref="Q133">
    <cfRule type="cellIs" priority="22" dxfId="1" operator="equal" stopIfTrue="1">
      <formula>0</formula>
    </cfRule>
  </conditionalFormatting>
  <conditionalFormatting sqref="L145">
    <cfRule type="cellIs" priority="19" dxfId="1" operator="equal" stopIfTrue="1">
      <formula>0</formula>
    </cfRule>
  </conditionalFormatting>
  <conditionalFormatting sqref="Q145">
    <cfRule type="cellIs" priority="18" dxfId="1" operator="equal" stopIfTrue="1">
      <formula>0</formula>
    </cfRule>
  </conditionalFormatting>
  <conditionalFormatting sqref="H81">
    <cfRule type="cellIs" priority="17" dxfId="1" operator="equal" stopIfTrue="1">
      <formula>0</formula>
    </cfRule>
  </conditionalFormatting>
  <conditionalFormatting sqref="U118">
    <cfRule type="cellIs" priority="16" dxfId="1" operator="equal" stopIfTrue="1">
      <formula>0</formula>
    </cfRule>
  </conditionalFormatting>
  <conditionalFormatting sqref="H118 L118:BD118 BJ118:BS118">
    <cfRule type="cellIs" priority="15" dxfId="1" operator="equal" stopIfTrue="1">
      <formula>0</formula>
    </cfRule>
  </conditionalFormatting>
  <conditionalFormatting sqref="BT118">
    <cfRule type="cellIs" priority="14" dxfId="1" operator="equal" stopIfTrue="1">
      <formula>0</formula>
    </cfRule>
  </conditionalFormatting>
  <conditionalFormatting sqref="M57:P57 M56">
    <cfRule type="cellIs" priority="13" dxfId="1" operator="equal" stopIfTrue="1">
      <formula>0</formula>
    </cfRule>
  </conditionalFormatting>
  <conditionalFormatting sqref="F118">
    <cfRule type="cellIs" priority="12" dxfId="1" operator="equal" stopIfTrue="1">
      <formula>0</formula>
    </cfRule>
  </conditionalFormatting>
  <conditionalFormatting sqref="H109:H110">
    <cfRule type="cellIs" priority="11" dxfId="1" operator="equal" stopIfTrue="1">
      <formula>0</formula>
    </cfRule>
  </conditionalFormatting>
  <conditionalFormatting sqref="L57">
    <cfRule type="cellIs" priority="10" dxfId="1" operator="equal" stopIfTrue="1">
      <formula>0</formula>
    </cfRule>
  </conditionalFormatting>
  <conditionalFormatting sqref="H75">
    <cfRule type="cellIs" priority="9" dxfId="176" operator="equal" stopIfTrue="1">
      <formula>0</formula>
    </cfRule>
  </conditionalFormatting>
  <conditionalFormatting sqref="AB50">
    <cfRule type="cellIs" priority="8" dxfId="1" operator="equal" stopIfTrue="1">
      <formula>0</formula>
    </cfRule>
  </conditionalFormatting>
  <conditionalFormatting sqref="E72">
    <cfRule type="cellIs" priority="7" dxfId="1" operator="equal" stopIfTrue="1">
      <formula>0</formula>
    </cfRule>
  </conditionalFormatting>
  <conditionalFormatting sqref="U54">
    <cfRule type="cellIs" priority="6" dxfId="1" operator="equal" stopIfTrue="1">
      <formula>0</formula>
    </cfRule>
  </conditionalFormatting>
  <conditionalFormatting sqref="L126:BT126">
    <cfRule type="cellIs" priority="5" dxfId="176" operator="equal" stopIfTrue="1">
      <formula>0</formula>
    </cfRule>
  </conditionalFormatting>
  <conditionalFormatting sqref="BO141">
    <cfRule type="cellIs" priority="4" dxfId="5" operator="greaterThan" stopIfTrue="1">
      <formula>$BJ$122</formula>
    </cfRule>
  </conditionalFormatting>
  <conditionalFormatting sqref="BO141">
    <cfRule type="cellIs" priority="3" dxfId="4" operator="greaterThan" stopIfTrue="1">
      <formula>$L$122</formula>
    </cfRule>
  </conditionalFormatting>
  <conditionalFormatting sqref="BE118:BH118">
    <cfRule type="cellIs" priority="2" dxfId="1" operator="equal" stopIfTrue="1">
      <formula>0</formula>
    </cfRule>
  </conditionalFormatting>
  <conditionalFormatting sqref="BI118">
    <cfRule type="cellIs" priority="1" dxfId="176" operator="equal" stopIfTrue="1">
      <formula>0</formula>
    </cfRule>
  </conditionalFormatting>
  <printOptions horizontalCentered="1"/>
  <pageMargins left="0.1968503937007874" right="0.1968503937007874" top="0.3937007874015748" bottom="0.2362204724409449" header="0" footer="0"/>
  <pageSetup fitToHeight="0" fitToWidth="1" horizontalDpi="600" verticalDpi="600" orientation="portrait" paperSize="8" scale="39" r:id="rId3"/>
  <colBreaks count="1" manualBreakCount="1">
    <brk id="56" max="144" man="1"/>
  </colBreaks>
  <ignoredErrors>
    <ignoredError sqref="AB63 BA104 R14 AB50 AB44 AG50" formulaRange="1"/>
    <ignoredError sqref="AA13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10"/>
  <sheetViews>
    <sheetView zoomScaleSheetLayoutView="110" zoomScalePageLayoutView="0" workbookViewId="0" topLeftCell="B1">
      <selection activeCell="G36" sqref="G36"/>
    </sheetView>
  </sheetViews>
  <sheetFormatPr defaultColWidth="9.140625" defaultRowHeight="12.75"/>
  <cols>
    <col min="1" max="1" width="0.9921875" style="0" customWidth="1"/>
    <col min="2" max="2" width="22.140625" style="0" customWidth="1"/>
    <col min="3" max="3" width="9.28125" style="0" customWidth="1"/>
    <col min="4" max="4" width="7.8515625" style="0" customWidth="1"/>
    <col min="5" max="5" width="16.57421875" style="0" customWidth="1"/>
    <col min="6" max="6" width="1.1484375" style="0" customWidth="1"/>
    <col min="7" max="7" width="7.28125" style="0" customWidth="1"/>
    <col min="8" max="8" width="17.421875" style="0" customWidth="1"/>
    <col min="9" max="9" width="24.140625" style="0" customWidth="1"/>
    <col min="10" max="10" width="9.7109375" style="0" customWidth="1"/>
    <col min="11" max="11" width="8.140625" style="0" customWidth="1"/>
    <col min="12" max="12" width="19.8515625" style="0" customWidth="1"/>
    <col min="13" max="13" width="0.85546875" style="0" customWidth="1"/>
    <col min="14" max="14" width="8.8515625" style="0" hidden="1" customWidth="1"/>
    <col min="15" max="15" width="8.140625" style="0" hidden="1" customWidth="1"/>
    <col min="16" max="16" width="9.57421875" style="0" hidden="1" customWidth="1"/>
    <col min="17" max="17" width="1.421875" style="0" hidden="1" customWidth="1"/>
    <col min="18" max="18" width="9.28125" style="0" customWidth="1"/>
    <col min="19" max="19" width="10.28125" style="0" customWidth="1"/>
    <col min="20" max="20" width="8.28125" style="0" customWidth="1"/>
    <col min="21" max="21" width="27.00390625" style="0" customWidth="1"/>
    <col min="22" max="22" width="4.57421875" style="0" customWidth="1"/>
    <col min="23" max="23" width="2.421875" style="0" customWidth="1"/>
  </cols>
  <sheetData>
    <row r="1" spans="1:23" ht="21.75" customHeight="1">
      <c r="A1" s="25"/>
      <c r="B1" s="609" t="s">
        <v>132</v>
      </c>
      <c r="C1" s="610"/>
      <c r="D1" s="610"/>
      <c r="E1" s="611"/>
      <c r="F1" s="463"/>
      <c r="G1" s="609" t="s">
        <v>133</v>
      </c>
      <c r="H1" s="610"/>
      <c r="I1" s="610"/>
      <c r="J1" s="610"/>
      <c r="K1" s="610"/>
      <c r="L1" s="611"/>
      <c r="M1" s="463"/>
      <c r="N1" s="604" t="s">
        <v>110</v>
      </c>
      <c r="O1" s="604"/>
      <c r="P1" s="604"/>
      <c r="Q1" s="463"/>
      <c r="R1" s="600" t="s">
        <v>134</v>
      </c>
      <c r="S1" s="600"/>
      <c r="T1" s="600"/>
      <c r="U1" s="600"/>
      <c r="V1" s="600"/>
      <c r="W1" s="600"/>
    </row>
    <row r="2" spans="1:23" ht="19.5" customHeight="1">
      <c r="A2" s="8"/>
      <c r="B2" s="602" t="s">
        <v>103</v>
      </c>
      <c r="C2" s="602" t="s">
        <v>102</v>
      </c>
      <c r="D2" s="602" t="s">
        <v>104</v>
      </c>
      <c r="E2" s="603" t="s">
        <v>105</v>
      </c>
      <c r="F2" s="463"/>
      <c r="G2" s="602" t="s">
        <v>103</v>
      </c>
      <c r="H2" s="602"/>
      <c r="I2" s="602"/>
      <c r="J2" s="460" t="s">
        <v>102</v>
      </c>
      <c r="K2" s="460" t="s">
        <v>104</v>
      </c>
      <c r="L2" s="461" t="s">
        <v>105</v>
      </c>
      <c r="M2" s="462"/>
      <c r="N2" s="461" t="s">
        <v>102</v>
      </c>
      <c r="O2" s="461" t="s">
        <v>104</v>
      </c>
      <c r="P2" s="461" t="s">
        <v>105</v>
      </c>
      <c r="Q2" s="463"/>
      <c r="R2" s="601" t="s">
        <v>525</v>
      </c>
      <c r="S2" s="601"/>
      <c r="T2" s="601"/>
      <c r="U2" s="601"/>
      <c r="V2" s="601"/>
      <c r="W2" s="601"/>
    </row>
    <row r="3" spans="1:23" ht="15.75" customHeight="1">
      <c r="A3" s="4"/>
      <c r="B3" s="602"/>
      <c r="C3" s="602"/>
      <c r="D3" s="602"/>
      <c r="E3" s="603"/>
      <c r="F3" s="463"/>
      <c r="G3" s="597" t="s">
        <v>144</v>
      </c>
      <c r="H3" s="598"/>
      <c r="I3" s="599"/>
      <c r="J3" s="460">
        <v>6</v>
      </c>
      <c r="K3" s="460">
        <v>4</v>
      </c>
      <c r="L3" s="460">
        <v>6</v>
      </c>
      <c r="M3" s="464"/>
      <c r="N3" s="465"/>
      <c r="O3" s="465"/>
      <c r="P3" s="465"/>
      <c r="Q3" s="463"/>
      <c r="R3" s="606" t="s">
        <v>222</v>
      </c>
      <c r="S3" s="607"/>
      <c r="T3" s="607"/>
      <c r="U3" s="607"/>
      <c r="V3" s="607"/>
      <c r="W3" s="608"/>
    </row>
    <row r="4" spans="1:23" ht="15.75" customHeight="1">
      <c r="A4" s="26"/>
      <c r="B4" s="466" t="s">
        <v>380</v>
      </c>
      <c r="C4" s="150" t="s">
        <v>381</v>
      </c>
      <c r="D4" s="460">
        <v>1</v>
      </c>
      <c r="E4" s="460">
        <v>2</v>
      </c>
      <c r="F4" s="463"/>
      <c r="G4" s="467" t="s">
        <v>563</v>
      </c>
      <c r="H4" s="468"/>
      <c r="I4" s="469"/>
      <c r="J4" s="460">
        <v>8</v>
      </c>
      <c r="K4" s="460">
        <v>4</v>
      </c>
      <c r="L4" s="460">
        <v>6</v>
      </c>
      <c r="M4" s="460"/>
      <c r="N4" s="470"/>
      <c r="O4" s="470"/>
      <c r="P4" s="470"/>
      <c r="Q4" s="463"/>
      <c r="R4" s="597" t="s">
        <v>223</v>
      </c>
      <c r="S4" s="598"/>
      <c r="T4" s="598"/>
      <c r="U4" s="598"/>
      <c r="V4" s="598"/>
      <c r="W4" s="599"/>
    </row>
    <row r="5" spans="1:23" ht="16.5" customHeight="1">
      <c r="A5" s="27"/>
      <c r="B5" s="466" t="s">
        <v>482</v>
      </c>
      <c r="C5" s="150" t="s">
        <v>369</v>
      </c>
      <c r="D5" s="460">
        <v>2</v>
      </c>
      <c r="E5" s="460">
        <v>3</v>
      </c>
      <c r="F5" s="463"/>
      <c r="G5" s="467" t="s">
        <v>145</v>
      </c>
      <c r="H5" s="468"/>
      <c r="I5" s="469"/>
      <c r="J5" s="460">
        <v>10</v>
      </c>
      <c r="K5" s="460">
        <v>8</v>
      </c>
      <c r="L5" s="471">
        <v>12</v>
      </c>
      <c r="M5" s="464"/>
      <c r="N5" s="472"/>
      <c r="O5" s="472"/>
      <c r="P5" s="472"/>
      <c r="Q5" s="463"/>
      <c r="R5" s="605" t="s">
        <v>224</v>
      </c>
      <c r="S5" s="605"/>
      <c r="T5" s="605"/>
      <c r="U5" s="605"/>
      <c r="V5" s="605"/>
      <c r="W5" s="605"/>
    </row>
    <row r="6" spans="1:23" ht="15" customHeight="1">
      <c r="A6" s="5"/>
      <c r="B6" s="5"/>
      <c r="C6" s="5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54"/>
      <c r="S6" s="54"/>
      <c r="T6" s="54"/>
      <c r="U6" s="46"/>
      <c r="V6" s="53"/>
      <c r="W6" s="53"/>
    </row>
    <row r="7" ht="14.25" customHeight="1"/>
    <row r="10" ht="12.75">
      <c r="G10" s="7"/>
    </row>
  </sheetData>
  <sheetProtection/>
  <mergeCells count="14">
    <mergeCell ref="R5:W5"/>
    <mergeCell ref="R3:W3"/>
    <mergeCell ref="R4:W4"/>
    <mergeCell ref="B1:E1"/>
    <mergeCell ref="G1:L1"/>
    <mergeCell ref="G2:I2"/>
    <mergeCell ref="G3:I3"/>
    <mergeCell ref="R1:W1"/>
    <mergeCell ref="R2:W2"/>
    <mergeCell ref="B2:B3"/>
    <mergeCell ref="C2:C3"/>
    <mergeCell ref="D2:D3"/>
    <mergeCell ref="E2:E3"/>
    <mergeCell ref="N1:P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80" zoomScaleNormal="80" zoomScalePageLayoutView="0" workbookViewId="0" topLeftCell="C1">
      <selection activeCell="E54" sqref="E54"/>
    </sheetView>
  </sheetViews>
  <sheetFormatPr defaultColWidth="9.140625" defaultRowHeight="12.75"/>
  <cols>
    <col min="1" max="1" width="8.140625" style="115" hidden="1" customWidth="1"/>
    <col min="2" max="2" width="34.00390625" style="115" hidden="1" customWidth="1"/>
    <col min="3" max="3" width="18.140625" style="121" customWidth="1"/>
    <col min="4" max="4" width="79.7109375" style="122" hidden="1" customWidth="1"/>
    <col min="5" max="5" width="136.7109375" style="115" customWidth="1"/>
    <col min="6" max="6" width="20.7109375" style="115" customWidth="1"/>
    <col min="7" max="7" width="33.8515625" style="115" customWidth="1"/>
    <col min="8" max="16384" width="9.140625" style="115" customWidth="1"/>
  </cols>
  <sheetData>
    <row r="1" spans="2:6" ht="18">
      <c r="B1" s="612" t="s">
        <v>240</v>
      </c>
      <c r="C1" s="612"/>
      <c r="D1" s="612"/>
      <c r="E1" s="612"/>
      <c r="F1" s="612"/>
    </row>
    <row r="2" spans="1:8" ht="54">
      <c r="A2" s="113"/>
      <c r="B2" s="116"/>
      <c r="C2" s="106" t="s">
        <v>209</v>
      </c>
      <c r="D2" s="107"/>
      <c r="E2" s="106" t="s">
        <v>241</v>
      </c>
      <c r="F2" s="106" t="s">
        <v>242</v>
      </c>
      <c r="G2" s="117"/>
      <c r="H2" s="117"/>
    </row>
    <row r="3" spans="1:8" ht="35.25" customHeight="1">
      <c r="A3" s="113"/>
      <c r="B3" s="116"/>
      <c r="C3" s="108" t="s">
        <v>299</v>
      </c>
      <c r="D3" s="109" t="s">
        <v>347</v>
      </c>
      <c r="E3" s="99" t="s">
        <v>664</v>
      </c>
      <c r="F3" s="93" t="s">
        <v>191</v>
      </c>
      <c r="G3" s="117"/>
      <c r="H3" s="117"/>
    </row>
    <row r="4" spans="1:8" ht="36" customHeight="1">
      <c r="A4" s="113"/>
      <c r="B4" s="116"/>
      <c r="C4" s="108" t="s">
        <v>300</v>
      </c>
      <c r="D4" s="109" t="s">
        <v>347</v>
      </c>
      <c r="E4" s="110" t="s">
        <v>641</v>
      </c>
      <c r="F4" s="93" t="s">
        <v>191</v>
      </c>
      <c r="G4" s="117"/>
      <c r="H4" s="117"/>
    </row>
    <row r="5" spans="1:8" ht="36">
      <c r="A5" s="113"/>
      <c r="B5" s="116"/>
      <c r="C5" s="108" t="s">
        <v>301</v>
      </c>
      <c r="D5" s="109" t="s">
        <v>64</v>
      </c>
      <c r="E5" s="110" t="s">
        <v>660</v>
      </c>
      <c r="F5" s="490" t="s">
        <v>159</v>
      </c>
      <c r="G5" s="117"/>
      <c r="H5" s="117"/>
    </row>
    <row r="6" spans="1:8" ht="39.75" customHeight="1">
      <c r="A6" s="113"/>
      <c r="B6" s="116"/>
      <c r="C6" s="108" t="s">
        <v>302</v>
      </c>
      <c r="D6" s="109" t="s">
        <v>642</v>
      </c>
      <c r="E6" s="110" t="s">
        <v>662</v>
      </c>
      <c r="F6" s="490" t="s">
        <v>614</v>
      </c>
      <c r="G6" s="117"/>
      <c r="H6" s="117"/>
    </row>
    <row r="7" spans="1:8" ht="36.75" customHeight="1">
      <c r="A7" s="113"/>
      <c r="B7" s="116"/>
      <c r="C7" s="108" t="s">
        <v>303</v>
      </c>
      <c r="D7" s="492" t="s">
        <v>201</v>
      </c>
      <c r="E7" s="110" t="s">
        <v>665</v>
      </c>
      <c r="F7" s="93" t="s">
        <v>247</v>
      </c>
      <c r="G7" s="117"/>
      <c r="H7" s="117"/>
    </row>
    <row r="8" spans="1:8" ht="52.5" customHeight="1">
      <c r="A8" s="113"/>
      <c r="B8" s="116"/>
      <c r="C8" s="108" t="s">
        <v>379</v>
      </c>
      <c r="D8" s="109" t="s">
        <v>608</v>
      </c>
      <c r="E8" s="99" t="s">
        <v>643</v>
      </c>
      <c r="F8" s="93" t="s">
        <v>247</v>
      </c>
      <c r="G8" s="117"/>
      <c r="H8" s="117"/>
    </row>
    <row r="9" spans="1:8" ht="54" customHeight="1">
      <c r="A9" s="113"/>
      <c r="B9" s="116"/>
      <c r="C9" s="108" t="s">
        <v>397</v>
      </c>
      <c r="D9" s="109" t="s">
        <v>402</v>
      </c>
      <c r="E9" s="99" t="s">
        <v>644</v>
      </c>
      <c r="F9" s="93" t="s">
        <v>541</v>
      </c>
      <c r="G9" s="117"/>
      <c r="H9" s="117"/>
    </row>
    <row r="10" spans="1:8" ht="108">
      <c r="A10" s="113"/>
      <c r="B10" s="116"/>
      <c r="C10" s="108" t="s">
        <v>378</v>
      </c>
      <c r="D10" s="109" t="s">
        <v>566</v>
      </c>
      <c r="E10" s="110" t="s">
        <v>570</v>
      </c>
      <c r="F10" s="93" t="s">
        <v>149</v>
      </c>
      <c r="G10" s="117"/>
      <c r="H10" s="117"/>
    </row>
    <row r="11" spans="1:8" ht="90">
      <c r="A11" s="113"/>
      <c r="B11" s="116"/>
      <c r="C11" s="108" t="s">
        <v>398</v>
      </c>
      <c r="D11" s="109" t="s">
        <v>565</v>
      </c>
      <c r="E11" s="110" t="s">
        <v>571</v>
      </c>
      <c r="F11" s="93" t="s">
        <v>150</v>
      </c>
      <c r="G11" s="117"/>
      <c r="H11" s="117"/>
    </row>
    <row r="12" spans="1:8" ht="87.75" customHeight="1">
      <c r="A12" s="113"/>
      <c r="B12" s="116"/>
      <c r="C12" s="108" t="s">
        <v>403</v>
      </c>
      <c r="D12" s="109" t="s">
        <v>56</v>
      </c>
      <c r="E12" s="110" t="s">
        <v>572</v>
      </c>
      <c r="F12" s="93" t="s">
        <v>151</v>
      </c>
      <c r="G12" s="117"/>
      <c r="H12" s="117"/>
    </row>
    <row r="13" spans="1:8" ht="54">
      <c r="A13" s="488"/>
      <c r="B13" s="116"/>
      <c r="C13" s="108" t="s">
        <v>404</v>
      </c>
      <c r="D13" s="109" t="s">
        <v>568</v>
      </c>
      <c r="E13" s="110" t="s">
        <v>573</v>
      </c>
      <c r="F13" s="93" t="s">
        <v>298</v>
      </c>
      <c r="G13" s="117"/>
      <c r="H13" s="117"/>
    </row>
    <row r="14" spans="1:6" ht="36">
      <c r="A14" s="94"/>
      <c r="B14" s="96"/>
      <c r="C14" s="108" t="s">
        <v>410</v>
      </c>
      <c r="D14" s="109" t="s">
        <v>63</v>
      </c>
      <c r="E14" s="99" t="s">
        <v>546</v>
      </c>
      <c r="F14" s="95" t="s">
        <v>197</v>
      </c>
    </row>
    <row r="15" spans="1:6" ht="63" customHeight="1">
      <c r="A15" s="94"/>
      <c r="B15" s="96"/>
      <c r="C15" s="108" t="s">
        <v>454</v>
      </c>
      <c r="D15" s="111" t="s">
        <v>567</v>
      </c>
      <c r="E15" s="99" t="s">
        <v>574</v>
      </c>
      <c r="F15" s="93" t="s">
        <v>214</v>
      </c>
    </row>
    <row r="16" spans="1:6" ht="40.5" customHeight="1">
      <c r="A16" s="94"/>
      <c r="B16" s="96"/>
      <c r="C16" s="108" t="s">
        <v>602</v>
      </c>
      <c r="D16" s="111" t="s">
        <v>604</v>
      </c>
      <c r="E16" s="99" t="s">
        <v>605</v>
      </c>
      <c r="F16" s="93" t="s">
        <v>298</v>
      </c>
    </row>
    <row r="17" spans="1:6" ht="63" customHeight="1">
      <c r="A17" s="94"/>
      <c r="B17" s="96"/>
      <c r="C17" s="108" t="s">
        <v>603</v>
      </c>
      <c r="D17" s="111" t="s">
        <v>606</v>
      </c>
      <c r="E17" s="99" t="s">
        <v>618</v>
      </c>
      <c r="F17" s="93" t="s">
        <v>214</v>
      </c>
    </row>
    <row r="18" spans="1:6" ht="108">
      <c r="A18" s="94"/>
      <c r="B18" s="96"/>
      <c r="C18" s="108" t="s">
        <v>607</v>
      </c>
      <c r="D18" s="111" t="s">
        <v>589</v>
      </c>
      <c r="E18" s="99" t="s">
        <v>640</v>
      </c>
      <c r="F18" s="93" t="s">
        <v>569</v>
      </c>
    </row>
    <row r="19" spans="1:6" ht="36">
      <c r="A19" s="94"/>
      <c r="B19" s="96"/>
      <c r="C19" s="108" t="s">
        <v>645</v>
      </c>
      <c r="D19" s="109" t="s">
        <v>99</v>
      </c>
      <c r="E19" s="99" t="s">
        <v>663</v>
      </c>
      <c r="F19" s="95" t="s">
        <v>616</v>
      </c>
    </row>
    <row r="20" spans="1:6" ht="36">
      <c r="A20" s="94"/>
      <c r="B20" s="96"/>
      <c r="C20" s="108" t="s">
        <v>646</v>
      </c>
      <c r="D20" s="109" t="s">
        <v>627</v>
      </c>
      <c r="E20" s="110" t="s">
        <v>636</v>
      </c>
      <c r="F20" s="93" t="s">
        <v>621</v>
      </c>
    </row>
    <row r="21" spans="1:6" ht="36">
      <c r="A21" s="94"/>
      <c r="B21" s="96"/>
      <c r="C21" s="108" t="s">
        <v>647</v>
      </c>
      <c r="D21" s="109" t="s">
        <v>624</v>
      </c>
      <c r="E21" s="99" t="s">
        <v>635</v>
      </c>
      <c r="F21" s="93" t="s">
        <v>622</v>
      </c>
    </row>
    <row r="22" spans="1:6" ht="36">
      <c r="A22" s="94"/>
      <c r="B22" s="96"/>
      <c r="C22" s="108" t="s">
        <v>653</v>
      </c>
      <c r="D22" s="109" t="s">
        <v>648</v>
      </c>
      <c r="E22" s="110" t="s">
        <v>649</v>
      </c>
      <c r="F22" s="490" t="s">
        <v>623</v>
      </c>
    </row>
    <row r="23" spans="1:6" ht="36">
      <c r="A23" s="94" t="s">
        <v>155</v>
      </c>
      <c r="B23" s="96" t="s">
        <v>173</v>
      </c>
      <c r="C23" s="108" t="s">
        <v>304</v>
      </c>
      <c r="D23" s="111" t="s">
        <v>173</v>
      </c>
      <c r="E23" s="99" t="s">
        <v>440</v>
      </c>
      <c r="F23" s="93" t="s">
        <v>155</v>
      </c>
    </row>
    <row r="24" spans="1:6" ht="54">
      <c r="A24" s="94" t="s">
        <v>156</v>
      </c>
      <c r="B24" s="96" t="s">
        <v>60</v>
      </c>
      <c r="C24" s="108" t="s">
        <v>305</v>
      </c>
      <c r="D24" s="111" t="s">
        <v>60</v>
      </c>
      <c r="E24" s="99" t="s">
        <v>441</v>
      </c>
      <c r="F24" s="93" t="s">
        <v>156</v>
      </c>
    </row>
    <row r="25" spans="1:6" ht="36">
      <c r="A25" s="95" t="s">
        <v>161</v>
      </c>
      <c r="B25" s="96" t="s">
        <v>65</v>
      </c>
      <c r="C25" s="108" t="s">
        <v>306</v>
      </c>
      <c r="D25" s="109" t="s">
        <v>65</v>
      </c>
      <c r="E25" s="99" t="s">
        <v>555</v>
      </c>
      <c r="F25" s="95" t="s">
        <v>161</v>
      </c>
    </row>
    <row r="26" spans="1:6" ht="54">
      <c r="A26" s="95" t="s">
        <v>165</v>
      </c>
      <c r="B26" s="96" t="s">
        <v>66</v>
      </c>
      <c r="C26" s="108" t="s">
        <v>307</v>
      </c>
      <c r="D26" s="111" t="s">
        <v>66</v>
      </c>
      <c r="E26" s="99" t="s">
        <v>556</v>
      </c>
      <c r="F26" s="95" t="s">
        <v>165</v>
      </c>
    </row>
    <row r="27" spans="1:6" ht="54">
      <c r="A27" s="94" t="s">
        <v>167</v>
      </c>
      <c r="B27" s="118" t="s">
        <v>62</v>
      </c>
      <c r="C27" s="108" t="s">
        <v>308</v>
      </c>
      <c r="D27" s="111" t="s">
        <v>62</v>
      </c>
      <c r="E27" s="99" t="s">
        <v>442</v>
      </c>
      <c r="F27" s="93" t="s">
        <v>167</v>
      </c>
    </row>
    <row r="28" spans="1:6" ht="54">
      <c r="A28" s="95" t="s">
        <v>168</v>
      </c>
      <c r="B28" s="96" t="s">
        <v>68</v>
      </c>
      <c r="C28" s="108" t="s">
        <v>309</v>
      </c>
      <c r="D28" s="111" t="s">
        <v>68</v>
      </c>
      <c r="E28" s="99" t="s">
        <v>443</v>
      </c>
      <c r="F28" s="95" t="s">
        <v>168</v>
      </c>
    </row>
    <row r="29" spans="1:6" ht="54">
      <c r="A29" s="95" t="s">
        <v>169</v>
      </c>
      <c r="B29" s="96" t="s">
        <v>129</v>
      </c>
      <c r="C29" s="108" t="s">
        <v>310</v>
      </c>
      <c r="D29" s="111" t="s">
        <v>129</v>
      </c>
      <c r="E29" s="99" t="s">
        <v>444</v>
      </c>
      <c r="F29" s="95" t="s">
        <v>169</v>
      </c>
    </row>
    <row r="30" spans="1:6" ht="90">
      <c r="A30" s="95" t="s">
        <v>170</v>
      </c>
      <c r="B30" s="96" t="s">
        <v>69</v>
      </c>
      <c r="C30" s="108" t="s">
        <v>311</v>
      </c>
      <c r="D30" s="111" t="s">
        <v>69</v>
      </c>
      <c r="E30" s="99" t="s">
        <v>557</v>
      </c>
      <c r="F30" s="95" t="s">
        <v>170</v>
      </c>
    </row>
    <row r="31" spans="1:6" ht="54">
      <c r="A31" s="95" t="s">
        <v>171</v>
      </c>
      <c r="B31" s="96" t="s">
        <v>73</v>
      </c>
      <c r="C31" s="108" t="s">
        <v>312</v>
      </c>
      <c r="D31" s="111" t="s">
        <v>73</v>
      </c>
      <c r="E31" s="99" t="s">
        <v>445</v>
      </c>
      <c r="F31" s="95" t="s">
        <v>171</v>
      </c>
    </row>
    <row r="32" spans="1:6" ht="54">
      <c r="A32" s="95" t="s">
        <v>243</v>
      </c>
      <c r="B32" s="96" t="s">
        <v>61</v>
      </c>
      <c r="C32" s="108" t="s">
        <v>345</v>
      </c>
      <c r="D32" s="111" t="s">
        <v>337</v>
      </c>
      <c r="E32" s="114" t="s">
        <v>446</v>
      </c>
      <c r="F32" s="95" t="s">
        <v>243</v>
      </c>
    </row>
    <row r="33" spans="1:6" ht="36">
      <c r="A33" s="92"/>
      <c r="B33" s="119"/>
      <c r="C33" s="112" t="s">
        <v>313</v>
      </c>
      <c r="D33" s="111" t="s">
        <v>61</v>
      </c>
      <c r="E33" s="114" t="s">
        <v>447</v>
      </c>
      <c r="F33" s="108" t="s">
        <v>344</v>
      </c>
    </row>
    <row r="34" spans="1:6" ht="36">
      <c r="A34" s="95" t="s">
        <v>210</v>
      </c>
      <c r="B34" s="96" t="s">
        <v>109</v>
      </c>
      <c r="C34" s="108" t="s">
        <v>405</v>
      </c>
      <c r="D34" s="109" t="s">
        <v>109</v>
      </c>
      <c r="E34" s="99" t="s">
        <v>448</v>
      </c>
      <c r="F34" s="95" t="s">
        <v>210</v>
      </c>
    </row>
    <row r="35" spans="1:6" ht="36.75" customHeight="1">
      <c r="A35" s="95" t="s">
        <v>244</v>
      </c>
      <c r="B35" s="96" t="s">
        <v>130</v>
      </c>
      <c r="C35" s="108" t="s">
        <v>372</v>
      </c>
      <c r="D35" s="109" t="s">
        <v>406</v>
      </c>
      <c r="E35" s="99" t="s">
        <v>449</v>
      </c>
      <c r="F35" s="95" t="s">
        <v>244</v>
      </c>
    </row>
    <row r="36" spans="1:6" ht="72">
      <c r="A36" s="95" t="s">
        <v>211</v>
      </c>
      <c r="B36" s="96" t="s">
        <v>235</v>
      </c>
      <c r="C36" s="108" t="s">
        <v>373</v>
      </c>
      <c r="D36" s="111" t="s">
        <v>235</v>
      </c>
      <c r="E36" s="99" t="s">
        <v>539</v>
      </c>
      <c r="F36" s="95" t="s">
        <v>211</v>
      </c>
    </row>
    <row r="37" spans="1:6" ht="54">
      <c r="A37" s="95" t="s">
        <v>297</v>
      </c>
      <c r="B37" s="96" t="s">
        <v>215</v>
      </c>
      <c r="C37" s="108" t="s">
        <v>374</v>
      </c>
      <c r="D37" s="111" t="s">
        <v>215</v>
      </c>
      <c r="E37" s="99" t="s">
        <v>450</v>
      </c>
      <c r="F37" s="95" t="s">
        <v>297</v>
      </c>
    </row>
    <row r="38" spans="1:6" ht="72">
      <c r="A38" s="95" t="s">
        <v>212</v>
      </c>
      <c r="B38" s="96" t="s">
        <v>70</v>
      </c>
      <c r="C38" s="108" t="s">
        <v>348</v>
      </c>
      <c r="D38" s="111" t="s">
        <v>70</v>
      </c>
      <c r="E38" s="99" t="s">
        <v>451</v>
      </c>
      <c r="F38" s="95" t="s">
        <v>212</v>
      </c>
    </row>
    <row r="39" spans="1:6" ht="90">
      <c r="A39" s="95" t="s">
        <v>213</v>
      </c>
      <c r="B39" s="96" t="s">
        <v>216</v>
      </c>
      <c r="C39" s="108" t="s">
        <v>375</v>
      </c>
      <c r="D39" s="111" t="s">
        <v>370</v>
      </c>
      <c r="E39" s="99" t="s">
        <v>452</v>
      </c>
      <c r="F39" s="95" t="s">
        <v>213</v>
      </c>
    </row>
    <row r="40" spans="1:6" ht="54">
      <c r="A40" s="95" t="s">
        <v>248</v>
      </c>
      <c r="B40" s="96" t="s">
        <v>202</v>
      </c>
      <c r="C40" s="108" t="s">
        <v>349</v>
      </c>
      <c r="D40" s="109" t="s">
        <v>202</v>
      </c>
      <c r="E40" s="99" t="s">
        <v>540</v>
      </c>
      <c r="F40" s="95" t="s">
        <v>247</v>
      </c>
    </row>
    <row r="41" spans="1:6" ht="54">
      <c r="A41" s="95" t="s">
        <v>249</v>
      </c>
      <c r="B41" s="96" t="s">
        <v>201</v>
      </c>
      <c r="C41" s="108" t="s">
        <v>407</v>
      </c>
      <c r="D41" s="109" t="s">
        <v>201</v>
      </c>
      <c r="E41" s="99" t="s">
        <v>453</v>
      </c>
      <c r="F41" s="95" t="s">
        <v>247</v>
      </c>
    </row>
    <row r="42" spans="1:6" ht="36">
      <c r="A42" s="95"/>
      <c r="B42" s="96"/>
      <c r="C42" s="108" t="s">
        <v>408</v>
      </c>
      <c r="D42" s="111" t="s">
        <v>230</v>
      </c>
      <c r="E42" s="99" t="s">
        <v>472</v>
      </c>
      <c r="F42" s="95" t="s">
        <v>484</v>
      </c>
    </row>
    <row r="43" spans="1:6" ht="54">
      <c r="A43" s="93"/>
      <c r="B43" s="96"/>
      <c r="C43" s="108" t="s">
        <v>409</v>
      </c>
      <c r="D43" s="109" t="s">
        <v>411</v>
      </c>
      <c r="E43" s="99" t="s">
        <v>518</v>
      </c>
      <c r="F43" s="95" t="s">
        <v>617</v>
      </c>
    </row>
    <row r="44" spans="1:6" ht="54">
      <c r="A44" s="93"/>
      <c r="B44" s="96"/>
      <c r="C44" s="108" t="s">
        <v>650</v>
      </c>
      <c r="D44" s="111" t="s">
        <v>80</v>
      </c>
      <c r="E44" s="99" t="s">
        <v>666</v>
      </c>
      <c r="F44" s="95" t="s">
        <v>485</v>
      </c>
    </row>
    <row r="45" spans="1:6" ht="54">
      <c r="A45" s="93"/>
      <c r="B45" s="96"/>
      <c r="C45" s="108" t="s">
        <v>651</v>
      </c>
      <c r="D45" s="111" t="s">
        <v>97</v>
      </c>
      <c r="E45" s="99" t="s">
        <v>547</v>
      </c>
      <c r="F45" s="95" t="s">
        <v>486</v>
      </c>
    </row>
    <row r="46" spans="1:6" ht="54">
      <c r="A46" s="93"/>
      <c r="B46" s="96"/>
      <c r="C46" s="108" t="s">
        <v>652</v>
      </c>
      <c r="D46" s="111" t="s">
        <v>233</v>
      </c>
      <c r="E46" s="99" t="s">
        <v>473</v>
      </c>
      <c r="F46" s="95" t="s">
        <v>487</v>
      </c>
    </row>
    <row r="47" spans="1:6" ht="36">
      <c r="A47" s="95" t="s">
        <v>251</v>
      </c>
      <c r="B47" s="96" t="s">
        <v>196</v>
      </c>
      <c r="C47" s="108" t="s">
        <v>314</v>
      </c>
      <c r="D47" s="111" t="s">
        <v>350</v>
      </c>
      <c r="E47" s="99" t="s">
        <v>456</v>
      </c>
      <c r="F47" s="95" t="s">
        <v>251</v>
      </c>
    </row>
    <row r="48" spans="1:6" ht="54">
      <c r="A48" s="95" t="s">
        <v>252</v>
      </c>
      <c r="B48" s="96" t="s">
        <v>143</v>
      </c>
      <c r="C48" s="108" t="s">
        <v>315</v>
      </c>
      <c r="D48" s="111" t="s">
        <v>143</v>
      </c>
      <c r="E48" s="99" t="s">
        <v>457</v>
      </c>
      <c r="F48" s="95" t="s">
        <v>252</v>
      </c>
    </row>
    <row r="49" spans="1:6" ht="36">
      <c r="A49" s="95" t="s">
        <v>254</v>
      </c>
      <c r="B49" s="96" t="s">
        <v>221</v>
      </c>
      <c r="C49" s="108" t="s">
        <v>316</v>
      </c>
      <c r="D49" s="111" t="s">
        <v>221</v>
      </c>
      <c r="E49" s="99" t="s">
        <v>458</v>
      </c>
      <c r="F49" s="95" t="s">
        <v>254</v>
      </c>
    </row>
    <row r="50" spans="1:6" ht="36">
      <c r="A50" s="95" t="s">
        <v>255</v>
      </c>
      <c r="B50" s="96" t="s">
        <v>72</v>
      </c>
      <c r="C50" s="108" t="s">
        <v>317</v>
      </c>
      <c r="D50" s="111" t="s">
        <v>72</v>
      </c>
      <c r="E50" s="99" t="s">
        <v>548</v>
      </c>
      <c r="F50" s="95" t="s">
        <v>255</v>
      </c>
    </row>
    <row r="51" spans="1:7" ht="54">
      <c r="A51" s="95"/>
      <c r="B51" s="96"/>
      <c r="C51" s="108" t="s">
        <v>318</v>
      </c>
      <c r="D51" s="111" t="s">
        <v>77</v>
      </c>
      <c r="E51" s="99" t="s">
        <v>549</v>
      </c>
      <c r="F51" s="95" t="s">
        <v>256</v>
      </c>
      <c r="G51" s="613"/>
    </row>
    <row r="52" spans="1:7" ht="36">
      <c r="A52" s="95"/>
      <c r="B52" s="96"/>
      <c r="C52" s="108" t="s">
        <v>319</v>
      </c>
      <c r="D52" s="111" t="s">
        <v>79</v>
      </c>
      <c r="E52" s="99" t="s">
        <v>550</v>
      </c>
      <c r="F52" s="95" t="s">
        <v>257</v>
      </c>
      <c r="G52" s="613"/>
    </row>
    <row r="53" spans="1:6" ht="54">
      <c r="A53" s="95"/>
      <c r="B53" s="96"/>
      <c r="C53" s="108" t="s">
        <v>320</v>
      </c>
      <c r="D53" s="111" t="s">
        <v>78</v>
      </c>
      <c r="E53" s="99" t="s">
        <v>521</v>
      </c>
      <c r="F53" s="95" t="s">
        <v>258</v>
      </c>
    </row>
    <row r="54" spans="1:6" ht="36">
      <c r="A54" s="95"/>
      <c r="B54" s="96"/>
      <c r="C54" s="108" t="s">
        <v>321</v>
      </c>
      <c r="D54" s="111" t="s">
        <v>91</v>
      </c>
      <c r="E54" s="99" t="s">
        <v>551</v>
      </c>
      <c r="F54" s="95" t="s">
        <v>259</v>
      </c>
    </row>
    <row r="55" spans="1:6" ht="36">
      <c r="A55" s="92"/>
      <c r="B55" s="119"/>
      <c r="C55" s="108" t="s">
        <v>322</v>
      </c>
      <c r="D55" s="111" t="s">
        <v>351</v>
      </c>
      <c r="E55" s="99" t="s">
        <v>459</v>
      </c>
      <c r="F55" s="95" t="s">
        <v>260</v>
      </c>
    </row>
    <row r="56" spans="1:6" ht="36">
      <c r="A56" s="92"/>
      <c r="B56" s="119"/>
      <c r="C56" s="108" t="s">
        <v>323</v>
      </c>
      <c r="D56" s="111" t="s">
        <v>75</v>
      </c>
      <c r="E56" s="99" t="s">
        <v>522</v>
      </c>
      <c r="F56" s="95" t="s">
        <v>261</v>
      </c>
    </row>
    <row r="57" spans="1:6" ht="36">
      <c r="A57" s="92"/>
      <c r="B57" s="119"/>
      <c r="C57" s="108" t="s">
        <v>488</v>
      </c>
      <c r="D57" s="111" t="s">
        <v>339</v>
      </c>
      <c r="E57" s="99" t="s">
        <v>460</v>
      </c>
      <c r="F57" s="95" t="s">
        <v>263</v>
      </c>
    </row>
    <row r="58" spans="1:6" ht="36">
      <c r="A58" s="92"/>
      <c r="B58" s="119"/>
      <c r="C58" s="108" t="s">
        <v>324</v>
      </c>
      <c r="D58" s="111" t="s">
        <v>81</v>
      </c>
      <c r="E58" s="99" t="s">
        <v>552</v>
      </c>
      <c r="F58" s="95" t="s">
        <v>264</v>
      </c>
    </row>
    <row r="59" spans="1:6" ht="36">
      <c r="A59" s="92"/>
      <c r="B59" s="119"/>
      <c r="C59" s="108" t="s">
        <v>325</v>
      </c>
      <c r="D59" s="111" t="s">
        <v>174</v>
      </c>
      <c r="E59" s="99" t="s">
        <v>461</v>
      </c>
      <c r="F59" s="95" t="s">
        <v>265</v>
      </c>
    </row>
    <row r="60" spans="1:6" ht="36">
      <c r="A60" s="92"/>
      <c r="B60" s="119"/>
      <c r="C60" s="108" t="s">
        <v>326</v>
      </c>
      <c r="D60" s="111" t="s">
        <v>98</v>
      </c>
      <c r="E60" s="99" t="s">
        <v>465</v>
      </c>
      <c r="F60" s="95" t="s">
        <v>266</v>
      </c>
    </row>
    <row r="61" spans="1:6" ht="36">
      <c r="A61" s="92"/>
      <c r="B61" s="119"/>
      <c r="C61" s="108" t="s">
        <v>327</v>
      </c>
      <c r="D61" s="97" t="s">
        <v>220</v>
      </c>
      <c r="E61" s="99" t="s">
        <v>553</v>
      </c>
      <c r="F61" s="95" t="s">
        <v>267</v>
      </c>
    </row>
    <row r="62" spans="1:6" ht="36">
      <c r="A62" s="92"/>
      <c r="B62" s="119"/>
      <c r="C62" s="108" t="s">
        <v>328</v>
      </c>
      <c r="D62" s="111" t="s">
        <v>71</v>
      </c>
      <c r="E62" s="99" t="s">
        <v>462</v>
      </c>
      <c r="F62" s="95" t="s">
        <v>269</v>
      </c>
    </row>
    <row r="63" spans="1:6" ht="36">
      <c r="A63" s="92"/>
      <c r="B63" s="119"/>
      <c r="C63" s="108" t="s">
        <v>376</v>
      </c>
      <c r="D63" s="111" t="s">
        <v>74</v>
      </c>
      <c r="E63" s="99" t="s">
        <v>520</v>
      </c>
      <c r="F63" s="95" t="s">
        <v>270</v>
      </c>
    </row>
    <row r="64" spans="1:6" ht="54">
      <c r="A64" s="95" t="s">
        <v>272</v>
      </c>
      <c r="B64" s="96" t="s">
        <v>234</v>
      </c>
      <c r="C64" s="108" t="s">
        <v>377</v>
      </c>
      <c r="D64" s="111" t="s">
        <v>352</v>
      </c>
      <c r="E64" s="99" t="s">
        <v>466</v>
      </c>
      <c r="F64" s="95" t="s">
        <v>272</v>
      </c>
    </row>
    <row r="65" spans="1:6" ht="36">
      <c r="A65" s="95" t="s">
        <v>273</v>
      </c>
      <c r="B65" s="96" t="s">
        <v>89</v>
      </c>
      <c r="C65" s="108" t="s">
        <v>329</v>
      </c>
      <c r="D65" s="111" t="s">
        <v>89</v>
      </c>
      <c r="E65" s="99" t="s">
        <v>559</v>
      </c>
      <c r="F65" s="95" t="s">
        <v>273</v>
      </c>
    </row>
    <row r="66" spans="1:6" ht="36">
      <c r="A66" s="95" t="s">
        <v>335</v>
      </c>
      <c r="B66" s="96" t="s">
        <v>76</v>
      </c>
      <c r="C66" s="108" t="s">
        <v>330</v>
      </c>
      <c r="D66" s="111" t="s">
        <v>76</v>
      </c>
      <c r="E66" s="99" t="s">
        <v>467</v>
      </c>
      <c r="F66" s="95" t="s">
        <v>335</v>
      </c>
    </row>
    <row r="67" spans="1:7" ht="36">
      <c r="A67" s="95" t="s">
        <v>275</v>
      </c>
      <c r="B67" s="96" t="s">
        <v>87</v>
      </c>
      <c r="C67" s="108" t="s">
        <v>331</v>
      </c>
      <c r="D67" s="111" t="s">
        <v>87</v>
      </c>
      <c r="E67" s="109" t="s">
        <v>468</v>
      </c>
      <c r="F67" s="95" t="s">
        <v>275</v>
      </c>
      <c r="G67" s="613"/>
    </row>
    <row r="68" spans="1:7" ht="36">
      <c r="A68" s="95" t="s">
        <v>276</v>
      </c>
      <c r="B68" s="96" t="s">
        <v>94</v>
      </c>
      <c r="C68" s="108" t="s">
        <v>332</v>
      </c>
      <c r="D68" s="111" t="s">
        <v>94</v>
      </c>
      <c r="E68" s="99" t="s">
        <v>538</v>
      </c>
      <c r="F68" s="95" t="s">
        <v>276</v>
      </c>
      <c r="G68" s="613"/>
    </row>
    <row r="69" spans="1:7" ht="36">
      <c r="A69" s="95" t="s">
        <v>277</v>
      </c>
      <c r="B69" s="96" t="s">
        <v>95</v>
      </c>
      <c r="C69" s="108" t="s">
        <v>333</v>
      </c>
      <c r="D69" s="111" t="s">
        <v>95</v>
      </c>
      <c r="E69" s="99" t="s">
        <v>469</v>
      </c>
      <c r="F69" s="95" t="s">
        <v>277</v>
      </c>
      <c r="G69" s="613"/>
    </row>
    <row r="70" spans="1:7" ht="36">
      <c r="A70" s="95" t="s">
        <v>278</v>
      </c>
      <c r="B70" s="96" t="s">
        <v>96</v>
      </c>
      <c r="C70" s="108" t="s">
        <v>334</v>
      </c>
      <c r="D70" s="111" t="s">
        <v>96</v>
      </c>
      <c r="E70" s="99" t="s">
        <v>470</v>
      </c>
      <c r="F70" s="95" t="s">
        <v>278</v>
      </c>
      <c r="G70" s="613"/>
    </row>
    <row r="71" spans="1:6" ht="54">
      <c r="A71" s="95" t="s">
        <v>280</v>
      </c>
      <c r="B71" s="96" t="s">
        <v>88</v>
      </c>
      <c r="C71" s="108" t="s">
        <v>439</v>
      </c>
      <c r="D71" s="111" t="s">
        <v>88</v>
      </c>
      <c r="E71" s="99" t="s">
        <v>471</v>
      </c>
      <c r="F71" s="95" t="s">
        <v>280</v>
      </c>
    </row>
    <row r="72" spans="1:6" ht="36">
      <c r="A72" s="95" t="s">
        <v>286</v>
      </c>
      <c r="B72" s="96" t="s">
        <v>219</v>
      </c>
      <c r="C72" s="108" t="s">
        <v>455</v>
      </c>
      <c r="D72" s="111" t="s">
        <v>219</v>
      </c>
      <c r="E72" s="99" t="s">
        <v>474</v>
      </c>
      <c r="F72" s="95" t="s">
        <v>282</v>
      </c>
    </row>
    <row r="73" spans="1:6" ht="36">
      <c r="A73" s="95" t="s">
        <v>287</v>
      </c>
      <c r="B73" s="96" t="s">
        <v>90</v>
      </c>
      <c r="C73" s="108" t="s">
        <v>489</v>
      </c>
      <c r="D73" s="111" t="s">
        <v>90</v>
      </c>
      <c r="E73" s="99" t="s">
        <v>554</v>
      </c>
      <c r="F73" s="95" t="s">
        <v>283</v>
      </c>
    </row>
    <row r="74" spans="1:6" ht="36">
      <c r="A74" s="95" t="s">
        <v>288</v>
      </c>
      <c r="B74" s="96" t="s">
        <v>239</v>
      </c>
      <c r="C74" s="108" t="s">
        <v>490</v>
      </c>
      <c r="D74" s="111" t="s">
        <v>239</v>
      </c>
      <c r="E74" s="99" t="s">
        <v>475</v>
      </c>
      <c r="F74" s="95" t="s">
        <v>284</v>
      </c>
    </row>
    <row r="75" spans="1:6" ht="54">
      <c r="A75" s="95"/>
      <c r="B75" s="96"/>
      <c r="C75" s="108" t="s">
        <v>491</v>
      </c>
      <c r="D75" s="111" t="s">
        <v>561</v>
      </c>
      <c r="E75" s="99" t="s">
        <v>560</v>
      </c>
      <c r="F75" s="95" t="s">
        <v>285</v>
      </c>
    </row>
    <row r="76" spans="1:6" ht="36">
      <c r="A76" s="95"/>
      <c r="B76" s="96"/>
      <c r="C76" s="108" t="s">
        <v>492</v>
      </c>
      <c r="D76" s="111" t="s">
        <v>92</v>
      </c>
      <c r="E76" s="99" t="s">
        <v>476</v>
      </c>
      <c r="F76" s="95" t="s">
        <v>290</v>
      </c>
    </row>
    <row r="77" spans="1:6" ht="36">
      <c r="A77" s="95"/>
      <c r="B77" s="96"/>
      <c r="C77" s="108" t="s">
        <v>493</v>
      </c>
      <c r="D77" s="111" t="s">
        <v>107</v>
      </c>
      <c r="E77" s="99" t="s">
        <v>667</v>
      </c>
      <c r="F77" s="95" t="s">
        <v>343</v>
      </c>
    </row>
    <row r="78" spans="1:6" ht="54">
      <c r="A78" s="95"/>
      <c r="B78" s="96"/>
      <c r="C78" s="108" t="s">
        <v>494</v>
      </c>
      <c r="D78" s="111" t="s">
        <v>93</v>
      </c>
      <c r="E78" s="99" t="s">
        <v>463</v>
      </c>
      <c r="F78" s="95" t="s">
        <v>292</v>
      </c>
    </row>
    <row r="79" spans="1:6" ht="54">
      <c r="A79" s="95"/>
      <c r="B79" s="96"/>
      <c r="C79" s="108" t="s">
        <v>503</v>
      </c>
      <c r="D79" s="111" t="s">
        <v>353</v>
      </c>
      <c r="E79" s="99" t="s">
        <v>464</v>
      </c>
      <c r="F79" s="95" t="s">
        <v>293</v>
      </c>
    </row>
    <row r="80" spans="1:6" ht="36">
      <c r="A80" s="92"/>
      <c r="B80" s="120"/>
      <c r="C80" s="108" t="s">
        <v>504</v>
      </c>
      <c r="D80" s="111" t="s">
        <v>399</v>
      </c>
      <c r="E80" s="99" t="s">
        <v>477</v>
      </c>
      <c r="F80" s="95" t="s">
        <v>294</v>
      </c>
    </row>
    <row r="81" spans="1:6" ht="36">
      <c r="A81" s="92" t="s">
        <v>296</v>
      </c>
      <c r="B81" s="98" t="s">
        <v>124</v>
      </c>
      <c r="C81" s="108" t="s">
        <v>505</v>
      </c>
      <c r="D81" s="109" t="s">
        <v>523</v>
      </c>
      <c r="E81" s="99" t="s">
        <v>524</v>
      </c>
      <c r="F81" s="95" t="s">
        <v>296</v>
      </c>
    </row>
    <row r="82" spans="1:6" ht="36">
      <c r="A82" s="95" t="s">
        <v>184</v>
      </c>
      <c r="B82" s="111" t="s">
        <v>195</v>
      </c>
      <c r="C82" s="108" t="s">
        <v>506</v>
      </c>
      <c r="D82" s="99" t="s">
        <v>121</v>
      </c>
      <c r="E82" s="99" t="s">
        <v>478</v>
      </c>
      <c r="F82" s="95" t="s">
        <v>611</v>
      </c>
    </row>
    <row r="83" spans="1:6" ht="26.25" customHeight="1">
      <c r="A83" s="95" t="s">
        <v>185</v>
      </c>
      <c r="B83" s="111" t="s">
        <v>131</v>
      </c>
      <c r="C83" s="108" t="s">
        <v>507</v>
      </c>
      <c r="D83" s="111" t="s">
        <v>188</v>
      </c>
      <c r="E83" s="99" t="s">
        <v>479</v>
      </c>
      <c r="F83" s="95" t="s">
        <v>615</v>
      </c>
    </row>
    <row r="84" spans="1:4" ht="18">
      <c r="A84" s="95" t="s">
        <v>186</v>
      </c>
      <c r="B84" s="99" t="s">
        <v>99</v>
      </c>
      <c r="C84" s="115"/>
      <c r="D84" s="115"/>
    </row>
  </sheetData>
  <sheetProtection/>
  <mergeCells count="3">
    <mergeCell ref="B1:F1"/>
    <mergeCell ref="G51:G52"/>
    <mergeCell ref="G67:G70"/>
  </mergeCells>
  <conditionalFormatting sqref="A43:A46">
    <cfRule type="cellIs" priority="3" dxfId="1" operator="equal" stopIfTrue="1">
      <formula>0</formula>
    </cfRule>
  </conditionalFormatting>
  <conditionalFormatting sqref="E26">
    <cfRule type="notContainsBlanks" priority="2" dxfId="0">
      <formula>LEN(TRIM(E26))&gt;0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106"/>
  <sheetViews>
    <sheetView showGridLines="0" zoomScale="60" zoomScaleNormal="60" zoomScalePageLayoutView="0" workbookViewId="0" topLeftCell="A1">
      <selection activeCell="A1" sqref="A1:W36"/>
    </sheetView>
  </sheetViews>
  <sheetFormatPr defaultColWidth="9.140625" defaultRowHeight="12.75"/>
  <cols>
    <col min="2" max="2" width="7.7109375" style="0" customWidth="1"/>
    <col min="9" max="9" width="43.28125" style="0" customWidth="1"/>
    <col min="11" max="11" width="4.421875" style="0" customWidth="1"/>
    <col min="12" max="12" width="2.7109375" style="0" customWidth="1"/>
    <col min="20" max="20" width="10.421875" style="0" customWidth="1"/>
    <col min="21" max="21" width="5.7109375" style="0" customWidth="1"/>
    <col min="22" max="22" width="10.7109375" style="0" customWidth="1"/>
    <col min="23" max="23" width="5.421875" style="0" customWidth="1"/>
    <col min="25" max="25" width="4.57421875" style="0" customWidth="1"/>
    <col min="26" max="26" width="5.140625" style="0" customWidth="1"/>
  </cols>
  <sheetData>
    <row r="1" spans="1:20" ht="24" customHeight="1">
      <c r="A1" s="614" t="s">
        <v>670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</row>
    <row r="2" spans="1:25" ht="26.25" customHeight="1">
      <c r="A2" s="514" t="s">
        <v>383</v>
      </c>
      <c r="B2" s="515"/>
      <c r="C2" s="516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72"/>
      <c r="V2" s="72"/>
      <c r="W2" s="72"/>
      <c r="X2" s="72"/>
      <c r="Y2" s="73"/>
    </row>
    <row r="3" spans="1:25" ht="23.25" customHeight="1">
      <c r="A3" s="514" t="s">
        <v>384</v>
      </c>
      <c r="B3" s="515"/>
      <c r="C3" s="516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72"/>
      <c r="V3" s="72"/>
      <c r="W3" s="72"/>
      <c r="X3" s="72"/>
      <c r="Y3" s="73"/>
    </row>
    <row r="4" spans="1:25" ht="25.5" customHeight="1">
      <c r="A4" s="514" t="s">
        <v>516</v>
      </c>
      <c r="B4" s="515"/>
      <c r="C4" s="516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72"/>
      <c r="V4" s="72"/>
      <c r="W4" s="72"/>
      <c r="X4" s="72"/>
      <c r="Y4" s="73"/>
    </row>
    <row r="5" spans="1:25" ht="24" customHeight="1">
      <c r="A5" s="514" t="s">
        <v>519</v>
      </c>
      <c r="B5" s="515"/>
      <c r="C5" s="516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72"/>
      <c r="V5" s="72"/>
      <c r="W5" s="72"/>
      <c r="X5" s="72"/>
      <c r="Y5" s="73"/>
    </row>
    <row r="6" spans="1:25" ht="20.25" customHeight="1">
      <c r="A6" s="514" t="s">
        <v>542</v>
      </c>
      <c r="B6" s="515"/>
      <c r="C6" s="516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72"/>
      <c r="V6" s="72"/>
      <c r="W6" s="72"/>
      <c r="X6" s="72"/>
      <c r="Y6" s="73"/>
    </row>
    <row r="7" spans="1:25" ht="21">
      <c r="A7" s="514" t="s">
        <v>385</v>
      </c>
      <c r="B7" s="515"/>
      <c r="C7" s="516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72"/>
      <c r="V7" s="72"/>
      <c r="W7" s="72"/>
      <c r="X7" s="72"/>
      <c r="Y7" s="73"/>
    </row>
    <row r="8" spans="1:25" ht="21">
      <c r="A8" s="514" t="s">
        <v>386</v>
      </c>
      <c r="B8" s="515"/>
      <c r="C8" s="516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72"/>
      <c r="V8" s="72"/>
      <c r="W8" s="72"/>
      <c r="X8" s="72"/>
      <c r="Y8" s="73"/>
    </row>
    <row r="9" spans="1:25" ht="21">
      <c r="A9" s="514" t="s">
        <v>510</v>
      </c>
      <c r="B9" s="515"/>
      <c r="C9" s="514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72"/>
      <c r="V9" s="72"/>
      <c r="W9" s="72"/>
      <c r="X9" s="72"/>
      <c r="Y9" s="73"/>
    </row>
    <row r="10" spans="1:25" ht="21">
      <c r="A10" s="514" t="s">
        <v>511</v>
      </c>
      <c r="B10" s="515"/>
      <c r="C10" s="514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72"/>
      <c r="V10" s="72"/>
      <c r="W10" s="72"/>
      <c r="X10" s="72"/>
      <c r="Y10" s="73"/>
    </row>
    <row r="11" spans="1:25" ht="18">
      <c r="A11" s="514" t="s">
        <v>512</v>
      </c>
      <c r="B11" s="515"/>
      <c r="C11" s="514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72"/>
      <c r="V11" s="72"/>
      <c r="W11" s="72"/>
      <c r="X11" s="72"/>
      <c r="Y11" s="73"/>
    </row>
    <row r="12" spans="1:25" ht="21" customHeight="1">
      <c r="A12" s="514" t="s">
        <v>513</v>
      </c>
      <c r="B12" s="515"/>
      <c r="C12" s="514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72"/>
      <c r="V12" s="72"/>
      <c r="W12" s="72"/>
      <c r="X12" s="72"/>
      <c r="Y12" s="73"/>
    </row>
    <row r="13" spans="1:25" ht="21" customHeight="1">
      <c r="A13" s="514" t="s">
        <v>514</v>
      </c>
      <c r="B13" s="515"/>
      <c r="C13" s="514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72"/>
      <c r="V13" s="72"/>
      <c r="W13" s="72"/>
      <c r="X13" s="72"/>
      <c r="Y13" s="73"/>
    </row>
    <row r="14" spans="1:25" ht="21" customHeight="1">
      <c r="A14" s="514" t="s">
        <v>515</v>
      </c>
      <c r="B14" s="515"/>
      <c r="C14" s="514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72"/>
      <c r="V14" s="72"/>
      <c r="W14" s="72"/>
      <c r="X14" s="72"/>
      <c r="Y14" s="73"/>
    </row>
    <row r="15" spans="1:25" ht="21.75" customHeight="1">
      <c r="A15" s="514" t="s">
        <v>517</v>
      </c>
      <c r="B15" s="515"/>
      <c r="C15" s="514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72"/>
      <c r="V15" s="72"/>
      <c r="W15" s="72"/>
      <c r="X15" s="72"/>
      <c r="Y15" s="73"/>
    </row>
    <row r="16" spans="1:25" ht="22.5" customHeight="1">
      <c r="A16" s="514" t="s">
        <v>387</v>
      </c>
      <c r="B16" s="515"/>
      <c r="C16" s="514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72"/>
      <c r="V16" s="72"/>
      <c r="W16" s="72"/>
      <c r="X16" s="72"/>
      <c r="Y16" s="73"/>
    </row>
    <row r="17" spans="1:25" ht="44.25" customHeight="1">
      <c r="A17" s="614" t="s">
        <v>671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72"/>
      <c r="V17" s="72"/>
      <c r="W17" s="72"/>
      <c r="X17" s="72"/>
      <c r="Y17" s="73"/>
    </row>
    <row r="18" spans="1:25" ht="36.75" customHeight="1">
      <c r="A18" s="491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72"/>
      <c r="V18" s="72"/>
      <c r="W18" s="72"/>
      <c r="X18" s="72"/>
      <c r="Y18" s="73"/>
    </row>
    <row r="19" spans="1:25" ht="17.25" customHeight="1" hidden="1">
      <c r="A19" s="72"/>
      <c r="B19" s="72" t="s">
        <v>656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/>
    </row>
    <row r="20" spans="1:25" ht="18">
      <c r="A20" s="74" t="s">
        <v>388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4" t="s">
        <v>388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3"/>
    </row>
    <row r="21" spans="1:25" ht="19.5" customHeight="1">
      <c r="A21" s="71" t="s">
        <v>591</v>
      </c>
      <c r="H21" s="71"/>
      <c r="I21" s="71"/>
      <c r="J21" s="71"/>
      <c r="K21" s="71"/>
      <c r="L21" s="71"/>
      <c r="M21" s="71" t="s">
        <v>389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3"/>
    </row>
    <row r="22" spans="1:25" ht="19.5" customHeight="1">
      <c r="A22" s="76" t="s">
        <v>391</v>
      </c>
      <c r="B22" s="75"/>
      <c r="C22" s="75"/>
      <c r="D22" s="75"/>
      <c r="E22" s="71" t="s">
        <v>592</v>
      </c>
      <c r="G22" s="71"/>
      <c r="H22" s="71"/>
      <c r="I22" s="71"/>
      <c r="J22" s="71"/>
      <c r="K22" s="71"/>
      <c r="L22" s="71"/>
      <c r="M22" s="71" t="s">
        <v>390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3"/>
    </row>
    <row r="23" spans="1:25" ht="24" customHeight="1">
      <c r="A23" s="71" t="s">
        <v>590</v>
      </c>
      <c r="B23" s="77"/>
      <c r="C23" s="77"/>
      <c r="D23" s="77"/>
      <c r="E23" s="77"/>
      <c r="H23" s="71"/>
      <c r="I23" s="71"/>
      <c r="J23" s="71"/>
      <c r="K23" s="71"/>
      <c r="L23" s="71"/>
      <c r="M23" s="76" t="s">
        <v>391</v>
      </c>
      <c r="N23" s="71"/>
      <c r="O23" s="71"/>
      <c r="P23" s="71"/>
      <c r="Q23" s="76" t="s">
        <v>392</v>
      </c>
      <c r="S23" s="71"/>
      <c r="T23" s="71"/>
      <c r="U23" s="71"/>
      <c r="V23" s="71"/>
      <c r="W23" s="71"/>
      <c r="X23" s="71"/>
      <c r="Y23" s="73"/>
    </row>
    <row r="24" spans="1:25" ht="21.75" customHeight="1">
      <c r="A24" s="71"/>
      <c r="B24" s="77"/>
      <c r="C24" s="77"/>
      <c r="D24" s="77"/>
      <c r="E24" s="77"/>
      <c r="H24" s="71"/>
      <c r="I24" s="71"/>
      <c r="K24" s="71"/>
      <c r="L24" s="71"/>
      <c r="M24" s="71" t="s">
        <v>590</v>
      </c>
      <c r="N24" s="71"/>
      <c r="O24" s="71"/>
      <c r="P24" s="71"/>
      <c r="Q24" s="71"/>
      <c r="R24" s="71"/>
      <c r="S24" s="71"/>
      <c r="T24" s="71"/>
      <c r="U24" s="71"/>
      <c r="V24" s="71"/>
      <c r="X24" s="71"/>
      <c r="Y24" s="73"/>
    </row>
    <row r="25" spans="1:25" ht="21.75" customHeight="1">
      <c r="A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X25" s="71"/>
      <c r="Y25" s="73"/>
    </row>
    <row r="26" spans="1:25" ht="18.75" customHeight="1">
      <c r="A26" s="71" t="s">
        <v>593</v>
      </c>
      <c r="J26" s="71"/>
      <c r="K26" s="71"/>
      <c r="L26" s="71"/>
      <c r="M26" s="71" t="s">
        <v>394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3"/>
    </row>
    <row r="27" spans="1:25" ht="18.75" customHeight="1">
      <c r="A27" s="71" t="s">
        <v>594</v>
      </c>
      <c r="B27" s="76"/>
      <c r="C27" s="76"/>
      <c r="D27" s="76"/>
      <c r="E27" s="76"/>
      <c r="J27" s="71"/>
      <c r="K27" s="71"/>
      <c r="L27" s="71"/>
      <c r="M27" s="71" t="s">
        <v>395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3"/>
    </row>
    <row r="28" spans="1:25" ht="18.75" customHeight="1">
      <c r="A28" s="76" t="s">
        <v>391</v>
      </c>
      <c r="B28" s="71"/>
      <c r="C28" s="71"/>
      <c r="D28" s="71"/>
      <c r="E28" s="71" t="s">
        <v>595</v>
      </c>
      <c r="J28" s="71"/>
      <c r="K28" s="71"/>
      <c r="L28" s="71"/>
      <c r="M28" s="76" t="s">
        <v>391</v>
      </c>
      <c r="N28" s="71"/>
      <c r="O28" s="71"/>
      <c r="P28" s="71"/>
      <c r="Q28" s="76" t="s">
        <v>396</v>
      </c>
      <c r="R28" s="71"/>
      <c r="S28" s="71"/>
      <c r="T28" s="71"/>
      <c r="U28" s="71"/>
      <c r="V28" s="71"/>
      <c r="W28" s="71"/>
      <c r="X28" s="71"/>
      <c r="Y28" s="73"/>
    </row>
    <row r="29" spans="1:25" ht="18.75" customHeight="1">
      <c r="A29" s="71" t="s">
        <v>590</v>
      </c>
      <c r="J29" s="71"/>
      <c r="K29" s="71"/>
      <c r="L29" s="71"/>
      <c r="M29" s="71" t="s">
        <v>590</v>
      </c>
      <c r="N29" s="71"/>
      <c r="O29" s="71"/>
      <c r="P29" s="71"/>
      <c r="Q29" s="71"/>
      <c r="S29" s="71"/>
      <c r="T29" s="71"/>
      <c r="U29" s="71"/>
      <c r="V29" s="71"/>
      <c r="W29" s="71"/>
      <c r="X29" s="71"/>
      <c r="Y29" s="73"/>
    </row>
    <row r="30" spans="2:25" ht="18" customHeight="1">
      <c r="B30" s="71"/>
      <c r="C30" s="71"/>
      <c r="D30" s="71"/>
      <c r="E30" s="71"/>
      <c r="F30" s="71"/>
      <c r="G30" s="71"/>
      <c r="H30" s="71"/>
      <c r="I30" s="71"/>
      <c r="K30" s="71"/>
      <c r="L30" s="71"/>
      <c r="N30" s="71"/>
      <c r="O30" s="71"/>
      <c r="P30" s="71"/>
      <c r="Q30" s="71"/>
      <c r="S30" s="71"/>
      <c r="T30" s="71"/>
      <c r="U30" s="71"/>
      <c r="V30" s="71"/>
      <c r="W30" s="71"/>
      <c r="X30" s="71"/>
      <c r="Y30" s="73"/>
    </row>
    <row r="31" spans="1:25" ht="20.25" customHeight="1">
      <c r="A31" s="71" t="s">
        <v>598</v>
      </c>
      <c r="B31" s="71"/>
      <c r="C31" s="71"/>
      <c r="D31" s="71"/>
      <c r="E31" s="71"/>
      <c r="G31" s="71"/>
      <c r="H31" s="71"/>
      <c r="I31" s="71"/>
      <c r="J31" s="71"/>
      <c r="K31" s="71"/>
      <c r="L31" s="71"/>
      <c r="M31" s="71" t="s">
        <v>596</v>
      </c>
      <c r="N31" s="71"/>
      <c r="O31" s="71"/>
      <c r="P31" s="71"/>
      <c r="R31" s="71"/>
      <c r="S31" s="71"/>
      <c r="T31" s="71"/>
      <c r="U31" s="71"/>
      <c r="V31" s="71"/>
      <c r="W31" s="71"/>
      <c r="X31" s="71"/>
      <c r="Y31" s="73"/>
    </row>
    <row r="32" spans="1:25" ht="18">
      <c r="A32" s="76" t="s">
        <v>391</v>
      </c>
      <c r="B32" s="71"/>
      <c r="C32" s="71"/>
      <c r="D32" s="71"/>
      <c r="E32" s="71" t="s">
        <v>599</v>
      </c>
      <c r="G32" s="71"/>
      <c r="H32" s="71"/>
      <c r="I32" s="71"/>
      <c r="J32" s="71"/>
      <c r="K32" s="71"/>
      <c r="L32" s="71"/>
      <c r="M32" s="76" t="s">
        <v>391</v>
      </c>
      <c r="N32" s="71"/>
      <c r="O32" s="71"/>
      <c r="P32" s="71"/>
      <c r="Q32" s="76" t="s">
        <v>597</v>
      </c>
      <c r="S32" s="71"/>
      <c r="T32" s="71"/>
      <c r="U32" s="71"/>
      <c r="V32" s="71"/>
      <c r="W32" s="71"/>
      <c r="X32" s="71"/>
      <c r="Y32" s="73"/>
    </row>
    <row r="33" spans="1:25" ht="19.5" customHeight="1">
      <c r="A33" s="71" t="s">
        <v>590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 t="s">
        <v>590</v>
      </c>
      <c r="N33" s="71"/>
      <c r="O33" s="71"/>
      <c r="P33" s="71"/>
      <c r="Q33" s="71"/>
      <c r="S33" s="71"/>
      <c r="T33" s="71"/>
      <c r="U33" s="71"/>
      <c r="V33" s="71"/>
      <c r="W33" s="71"/>
      <c r="X33" s="71"/>
      <c r="Y33" s="73"/>
    </row>
    <row r="34" spans="1:25" ht="17.25" customHeight="1">
      <c r="A34" s="71"/>
      <c r="B34" s="491"/>
      <c r="C34" s="491"/>
      <c r="D34" s="491"/>
      <c r="E34" s="491"/>
      <c r="F34" s="491"/>
      <c r="G34" s="491"/>
      <c r="H34" s="491"/>
      <c r="I34" s="491"/>
      <c r="J34" s="71"/>
      <c r="K34" s="71"/>
      <c r="L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3"/>
    </row>
    <row r="35" spans="1:25" ht="39" customHeight="1">
      <c r="A35" s="615" t="s">
        <v>600</v>
      </c>
      <c r="B35" s="615"/>
      <c r="C35" s="615"/>
      <c r="D35" s="615"/>
      <c r="E35" s="615"/>
      <c r="F35" s="615"/>
      <c r="G35" s="615"/>
      <c r="H35" s="615"/>
      <c r="I35" s="615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3"/>
    </row>
    <row r="36" spans="1:25" ht="19.5" customHeight="1">
      <c r="A36" s="78" t="s">
        <v>672</v>
      </c>
      <c r="D36" s="53"/>
      <c r="E36" s="53"/>
      <c r="L36" s="71"/>
      <c r="U36" s="71"/>
      <c r="V36" s="71"/>
      <c r="W36" s="71"/>
      <c r="X36" s="71"/>
      <c r="Y36" s="73"/>
    </row>
    <row r="37" spans="2:25" ht="21" customHeight="1">
      <c r="B37" s="71"/>
      <c r="C37" s="71"/>
      <c r="D37" s="71"/>
      <c r="E37" s="71"/>
      <c r="F37" s="71"/>
      <c r="G37" s="71"/>
      <c r="H37" s="71"/>
      <c r="I37" s="71"/>
      <c r="L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3"/>
    </row>
    <row r="38" spans="2:25" ht="18.75" customHeight="1">
      <c r="B38" s="4"/>
      <c r="C38" s="4"/>
      <c r="D38" s="4"/>
      <c r="E38" s="4"/>
      <c r="F38" s="4"/>
      <c r="G38" s="4"/>
      <c r="H38" s="4"/>
      <c r="I38" s="4"/>
      <c r="L38" s="71"/>
      <c r="S38" s="71"/>
      <c r="T38" s="71"/>
      <c r="U38" s="71"/>
      <c r="V38" s="71"/>
      <c r="W38" s="71"/>
      <c r="X38" s="71"/>
      <c r="Y38" s="73"/>
    </row>
    <row r="39" spans="2:25" ht="36" customHeight="1">
      <c r="B39" s="173"/>
      <c r="C39" s="173"/>
      <c r="D39" s="173"/>
      <c r="E39" s="173"/>
      <c r="F39" s="173"/>
      <c r="G39" s="173"/>
      <c r="H39" s="173"/>
      <c r="I39" s="173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3"/>
    </row>
    <row r="40" spans="1:25" ht="17.25" customHeight="1">
      <c r="A40" s="78" t="s">
        <v>481</v>
      </c>
      <c r="B40" s="174"/>
      <c r="C40" s="174"/>
      <c r="D40" s="174"/>
      <c r="E40" s="174"/>
      <c r="F40" s="174"/>
      <c r="G40" s="174"/>
      <c r="H40" s="174"/>
      <c r="I40" s="174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3"/>
    </row>
    <row r="41" spans="1:25" ht="17.2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3"/>
    </row>
    <row r="42" spans="1:25" ht="18.75" customHeight="1">
      <c r="A42" s="174"/>
      <c r="B42" s="78"/>
      <c r="C42" s="78"/>
      <c r="D42" s="78"/>
      <c r="E42" s="78"/>
      <c r="F42" s="78"/>
      <c r="G42" s="78"/>
      <c r="H42" s="78"/>
      <c r="I42" s="78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3"/>
    </row>
    <row r="43" spans="1:22" ht="18">
      <c r="A43" s="177" t="s">
        <v>388</v>
      </c>
      <c r="B43" s="78"/>
      <c r="C43" s="78"/>
      <c r="D43" s="78"/>
      <c r="E43" s="78"/>
      <c r="F43" s="78"/>
      <c r="G43" s="78"/>
      <c r="H43" s="174"/>
      <c r="I43" s="17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73"/>
    </row>
    <row r="44" spans="1:22" ht="18" hidden="1">
      <c r="A44" s="78" t="s">
        <v>389</v>
      </c>
      <c r="B44" s="78"/>
      <c r="C44" s="78"/>
      <c r="D44" s="78"/>
      <c r="E44" s="78"/>
      <c r="F44" s="78"/>
      <c r="G44" s="78"/>
      <c r="H44" s="174"/>
      <c r="I44" s="174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4"/>
      <c r="U44" s="4"/>
      <c r="V44" s="73"/>
    </row>
    <row r="45" spans="1:20" ht="18" hidden="1">
      <c r="A45" s="78" t="s">
        <v>390</v>
      </c>
      <c r="B45" s="78"/>
      <c r="C45" s="78"/>
      <c r="D45" s="78"/>
      <c r="E45" s="78"/>
      <c r="F45" s="178" t="s">
        <v>392</v>
      </c>
      <c r="G45" s="78"/>
      <c r="H45" s="174"/>
      <c r="I45" s="174"/>
      <c r="J45" s="174"/>
      <c r="K45" s="174"/>
      <c r="L45" s="174"/>
      <c r="M45" s="174"/>
      <c r="N45" s="175"/>
      <c r="O45" s="175"/>
      <c r="P45" s="175"/>
      <c r="Q45" s="176"/>
      <c r="R45" s="176"/>
      <c r="S45" s="174"/>
      <c r="T45" s="174"/>
    </row>
    <row r="46" spans="1:20" ht="18" hidden="1">
      <c r="A46" s="178" t="s">
        <v>391</v>
      </c>
      <c r="B46" s="78"/>
      <c r="C46" s="78"/>
      <c r="D46" s="78"/>
      <c r="E46" s="78"/>
      <c r="F46" s="78"/>
      <c r="G46" s="78"/>
      <c r="H46" s="174"/>
      <c r="I46" s="174"/>
      <c r="J46" s="174"/>
      <c r="K46" s="174"/>
      <c r="L46" s="174"/>
      <c r="M46" s="174"/>
      <c r="N46" s="175"/>
      <c r="O46" s="175"/>
      <c r="P46" s="175"/>
      <c r="Q46" s="176"/>
      <c r="R46" s="176"/>
      <c r="S46" s="174"/>
      <c r="T46" s="174"/>
    </row>
    <row r="47" spans="1:20" ht="18" hidden="1">
      <c r="A47" s="78" t="s">
        <v>393</v>
      </c>
      <c r="B47" s="174"/>
      <c r="C47" s="174"/>
      <c r="D47" s="174"/>
      <c r="E47" s="174"/>
      <c r="F47" s="174"/>
      <c r="G47" s="174"/>
      <c r="H47" s="174"/>
      <c r="I47" s="174"/>
      <c r="J47" s="78"/>
      <c r="K47" s="78"/>
      <c r="L47" s="78"/>
      <c r="M47" s="177" t="s">
        <v>388</v>
      </c>
      <c r="N47" s="78"/>
      <c r="O47" s="175"/>
      <c r="P47" s="175"/>
      <c r="Q47" s="176"/>
      <c r="R47" s="176"/>
      <c r="S47" s="174"/>
      <c r="T47" s="174"/>
    </row>
    <row r="48" spans="1:20" ht="18" hidden="1">
      <c r="A48" s="174"/>
      <c r="J48" s="174"/>
      <c r="K48" s="174"/>
      <c r="L48" s="174"/>
      <c r="M48" s="78" t="s">
        <v>394</v>
      </c>
      <c r="N48" s="175"/>
      <c r="O48" s="175"/>
      <c r="P48" s="175"/>
      <c r="Q48" s="176"/>
      <c r="R48" s="176"/>
      <c r="S48" s="174"/>
      <c r="T48" s="174"/>
    </row>
    <row r="49" spans="10:20" ht="18" hidden="1">
      <c r="J49" s="174"/>
      <c r="K49" s="174"/>
      <c r="L49" s="174"/>
      <c r="M49" s="78" t="s">
        <v>395</v>
      </c>
      <c r="N49" s="175"/>
      <c r="O49" s="175"/>
      <c r="P49" s="175"/>
      <c r="Q49" s="176"/>
      <c r="R49" s="176"/>
      <c r="S49" s="174"/>
      <c r="T49" s="174"/>
    </row>
    <row r="50" spans="10:20" ht="18" hidden="1">
      <c r="J50" s="174"/>
      <c r="K50" s="174"/>
      <c r="L50" s="174"/>
      <c r="M50" s="178" t="s">
        <v>391</v>
      </c>
      <c r="N50" s="175"/>
      <c r="O50" s="175"/>
      <c r="P50" s="175"/>
      <c r="Q50" s="176"/>
      <c r="R50" s="178" t="s">
        <v>396</v>
      </c>
      <c r="S50" s="174"/>
      <c r="T50" s="174"/>
    </row>
    <row r="51" spans="10:20" ht="18" hidden="1">
      <c r="J51" s="174"/>
      <c r="K51" s="174"/>
      <c r="L51" s="174"/>
      <c r="M51" s="78" t="s">
        <v>393</v>
      </c>
      <c r="N51" s="175"/>
      <c r="O51" s="175"/>
      <c r="P51" s="175"/>
      <c r="Q51" s="176"/>
      <c r="R51" s="176"/>
      <c r="S51" s="174"/>
      <c r="T51" s="174"/>
    </row>
    <row r="52" spans="10:20" ht="15" hidden="1">
      <c r="J52" s="174"/>
      <c r="K52" s="174"/>
      <c r="L52" s="174"/>
      <c r="M52" s="174"/>
      <c r="N52" s="175"/>
      <c r="O52" s="175"/>
      <c r="P52" s="175"/>
      <c r="Q52" s="176"/>
      <c r="R52" s="176"/>
      <c r="S52" s="174"/>
      <c r="T52" s="174"/>
    </row>
    <row r="53" spans="14:18" ht="15">
      <c r="N53" s="79"/>
      <c r="O53" s="79"/>
      <c r="P53" s="79"/>
      <c r="Q53" s="2"/>
      <c r="R53" s="2"/>
    </row>
    <row r="54" spans="14:18" ht="15">
      <c r="N54" s="79"/>
      <c r="O54" s="79"/>
      <c r="P54" s="79"/>
      <c r="Q54" s="2"/>
      <c r="R54" s="2"/>
    </row>
    <row r="55" spans="14:18" ht="15">
      <c r="N55" s="79"/>
      <c r="O55" s="79"/>
      <c r="P55" s="79"/>
      <c r="Q55" s="2"/>
      <c r="R55" s="2"/>
    </row>
    <row r="56" spans="14:18" ht="15">
      <c r="N56" s="79"/>
      <c r="O56" s="79"/>
      <c r="P56" s="79"/>
      <c r="Q56" s="2"/>
      <c r="R56" s="2"/>
    </row>
    <row r="57" spans="14:18" ht="15">
      <c r="N57" s="79"/>
      <c r="O57" s="79"/>
      <c r="P57" s="79"/>
      <c r="Q57" s="2"/>
      <c r="R57" s="2"/>
    </row>
    <row r="58" spans="14:18" ht="15">
      <c r="N58" s="79"/>
      <c r="O58" s="79"/>
      <c r="P58" s="79"/>
      <c r="Q58" s="2"/>
      <c r="R58" s="2"/>
    </row>
    <row r="59" spans="14:18" ht="15">
      <c r="N59" s="79"/>
      <c r="O59" s="79"/>
      <c r="P59" s="79"/>
      <c r="Q59" s="2"/>
      <c r="R59" s="2"/>
    </row>
    <row r="60" spans="14:18" ht="15">
      <c r="N60" s="79"/>
      <c r="O60" s="79"/>
      <c r="P60" s="79"/>
      <c r="Q60" s="2"/>
      <c r="R60" s="2"/>
    </row>
    <row r="61" spans="14:18" ht="15">
      <c r="N61" s="79"/>
      <c r="O61" s="79"/>
      <c r="P61" s="79"/>
      <c r="Q61" s="2"/>
      <c r="R61" s="2"/>
    </row>
    <row r="62" spans="14:18" ht="15">
      <c r="N62" s="79"/>
      <c r="O62" s="79"/>
      <c r="P62" s="79"/>
      <c r="Q62" s="2"/>
      <c r="R62" s="2"/>
    </row>
    <row r="63" spans="14:18" ht="15">
      <c r="N63" s="79"/>
      <c r="O63" s="79"/>
      <c r="P63" s="79"/>
      <c r="Q63" s="2"/>
      <c r="R63" s="2"/>
    </row>
    <row r="64" spans="14:18" ht="15">
      <c r="N64" s="79"/>
      <c r="O64" s="79"/>
      <c r="P64" s="79"/>
      <c r="Q64" s="2"/>
      <c r="R64" s="2"/>
    </row>
    <row r="65" spans="14:18" ht="15">
      <c r="N65" s="79"/>
      <c r="O65" s="79"/>
      <c r="P65" s="79"/>
      <c r="Q65" s="2"/>
      <c r="R65" s="2"/>
    </row>
    <row r="66" spans="14:18" ht="15">
      <c r="N66" s="79"/>
      <c r="O66" s="79"/>
      <c r="P66" s="79"/>
      <c r="Q66" s="2"/>
      <c r="R66" s="2"/>
    </row>
    <row r="67" spans="14:18" ht="15">
      <c r="N67" s="79"/>
      <c r="O67" s="79"/>
      <c r="P67" s="79"/>
      <c r="Q67" s="2"/>
      <c r="R67" s="2"/>
    </row>
    <row r="68" spans="14:18" ht="15">
      <c r="N68" s="79"/>
      <c r="O68" s="79"/>
      <c r="P68" s="79"/>
      <c r="Q68" s="2"/>
      <c r="R68" s="2"/>
    </row>
    <row r="69" spans="14:18" ht="15">
      <c r="N69" s="79"/>
      <c r="O69" s="79"/>
      <c r="P69" s="79"/>
      <c r="Q69" s="2"/>
      <c r="R69" s="2"/>
    </row>
    <row r="70" spans="14:18" ht="15">
      <c r="N70" s="79"/>
      <c r="O70" s="79"/>
      <c r="P70" s="79"/>
      <c r="Q70" s="2"/>
      <c r="R70" s="2"/>
    </row>
    <row r="71" spans="14:18" ht="15">
      <c r="N71" s="79"/>
      <c r="O71" s="79"/>
      <c r="P71" s="79"/>
      <c r="Q71" s="2"/>
      <c r="R71" s="2"/>
    </row>
    <row r="72" spans="14:18" ht="15">
      <c r="N72" s="79"/>
      <c r="O72" s="79"/>
      <c r="P72" s="79"/>
      <c r="Q72" s="2"/>
      <c r="R72" s="2"/>
    </row>
    <row r="73" spans="14:18" ht="15">
      <c r="N73" s="79"/>
      <c r="O73" s="79"/>
      <c r="P73" s="79"/>
      <c r="Q73" s="2"/>
      <c r="R73" s="2"/>
    </row>
    <row r="74" spans="14:18" ht="15">
      <c r="N74" s="79"/>
      <c r="O74" s="79"/>
      <c r="P74" s="79"/>
      <c r="Q74" s="2"/>
      <c r="R74" s="2"/>
    </row>
    <row r="75" spans="14:18" ht="15">
      <c r="N75" s="79"/>
      <c r="O75" s="79"/>
      <c r="P75" s="79"/>
      <c r="Q75" s="2"/>
      <c r="R75" s="2"/>
    </row>
    <row r="76" spans="14:18" ht="15">
      <c r="N76" s="79"/>
      <c r="O76" s="79"/>
      <c r="P76" s="79"/>
      <c r="Q76" s="2"/>
      <c r="R76" s="2"/>
    </row>
    <row r="77" spans="14:18" ht="15">
      <c r="N77" s="79"/>
      <c r="O77" s="79"/>
      <c r="P77" s="79"/>
      <c r="Q77" s="2"/>
      <c r="R77" s="2"/>
    </row>
    <row r="78" spans="14:18" ht="15">
      <c r="N78" s="79"/>
      <c r="O78" s="79"/>
      <c r="P78" s="79"/>
      <c r="Q78" s="2"/>
      <c r="R78" s="2"/>
    </row>
    <row r="79" spans="14:18" ht="15">
      <c r="N79" s="79"/>
      <c r="O79" s="79"/>
      <c r="P79" s="79"/>
      <c r="Q79" s="2"/>
      <c r="R79" s="2"/>
    </row>
    <row r="80" spans="14:18" ht="15">
      <c r="N80" s="79"/>
      <c r="O80" s="79"/>
      <c r="P80" s="79"/>
      <c r="Q80" s="2"/>
      <c r="R80" s="2"/>
    </row>
    <row r="81" spans="14:18" ht="15">
      <c r="N81" s="79"/>
      <c r="O81" s="79"/>
      <c r="P81" s="79"/>
      <c r="Q81" s="2"/>
      <c r="R81" s="2"/>
    </row>
    <row r="82" spans="14:18" ht="15">
      <c r="N82" s="79"/>
      <c r="O82" s="79"/>
      <c r="P82" s="79"/>
      <c r="Q82" s="2"/>
      <c r="R82" s="2"/>
    </row>
    <row r="83" spans="14:18" ht="15">
      <c r="N83" s="79"/>
      <c r="O83" s="79"/>
      <c r="P83" s="79"/>
      <c r="Q83" s="2"/>
      <c r="R83" s="2"/>
    </row>
    <row r="84" spans="14:18" ht="15">
      <c r="N84" s="79"/>
      <c r="O84" s="79"/>
      <c r="P84" s="79"/>
      <c r="Q84" s="2"/>
      <c r="R84" s="2"/>
    </row>
    <row r="85" spans="14:18" ht="15">
      <c r="N85" s="79"/>
      <c r="O85" s="79"/>
      <c r="P85" s="79"/>
      <c r="Q85" s="2"/>
      <c r="R85" s="2"/>
    </row>
    <row r="86" spans="14:18" ht="15">
      <c r="N86" s="79"/>
      <c r="O86" s="79"/>
      <c r="P86" s="79"/>
      <c r="Q86" s="2"/>
      <c r="R86" s="2"/>
    </row>
    <row r="87" spans="14:18" ht="15">
      <c r="N87" s="79"/>
      <c r="O87" s="79"/>
      <c r="P87" s="79"/>
      <c r="Q87" s="2"/>
      <c r="R87" s="2"/>
    </row>
    <row r="88" spans="14:18" ht="15">
      <c r="N88" s="79"/>
      <c r="O88" s="79"/>
      <c r="P88" s="79"/>
      <c r="Q88" s="2"/>
      <c r="R88" s="2"/>
    </row>
    <row r="89" spans="14:18" ht="15">
      <c r="N89" s="79"/>
      <c r="O89" s="79"/>
      <c r="P89" s="79"/>
      <c r="Q89" s="2"/>
      <c r="R89" s="2"/>
    </row>
    <row r="90" spans="14:18" ht="15">
      <c r="N90" s="79"/>
      <c r="O90" s="79"/>
      <c r="P90" s="79"/>
      <c r="Q90" s="2"/>
      <c r="R90" s="2"/>
    </row>
    <row r="91" spans="14:18" ht="15">
      <c r="N91" s="79"/>
      <c r="O91" s="79"/>
      <c r="P91" s="79"/>
      <c r="Q91" s="2"/>
      <c r="R91" s="2"/>
    </row>
    <row r="92" spans="14:18" ht="15">
      <c r="N92" s="79"/>
      <c r="O92" s="79"/>
      <c r="P92" s="79"/>
      <c r="Q92" s="2"/>
      <c r="R92" s="2"/>
    </row>
    <row r="93" spans="14:18" ht="15">
      <c r="N93" s="79"/>
      <c r="O93" s="79"/>
      <c r="P93" s="79"/>
      <c r="Q93" s="2"/>
      <c r="R93" s="2"/>
    </row>
    <row r="94" spans="14:18" ht="15">
      <c r="N94" s="79"/>
      <c r="O94" s="79"/>
      <c r="P94" s="79"/>
      <c r="Q94" s="2"/>
      <c r="R94" s="2"/>
    </row>
    <row r="95" spans="14:18" ht="15">
      <c r="N95" s="79"/>
      <c r="O95" s="79"/>
      <c r="P95" s="79"/>
      <c r="Q95" s="2"/>
      <c r="R95" s="2"/>
    </row>
    <row r="96" spans="14:18" ht="15">
      <c r="N96" s="79"/>
      <c r="O96" s="79"/>
      <c r="P96" s="79"/>
      <c r="Q96" s="2"/>
      <c r="R96" s="2"/>
    </row>
    <row r="97" spans="14:18" ht="15">
      <c r="N97" s="79"/>
      <c r="O97" s="79"/>
      <c r="P97" s="79"/>
      <c r="Q97" s="2"/>
      <c r="R97" s="2"/>
    </row>
    <row r="98" spans="14:18" ht="15">
      <c r="N98" s="79"/>
      <c r="O98" s="79"/>
      <c r="P98" s="79"/>
      <c r="Q98" s="2"/>
      <c r="R98" s="2"/>
    </row>
    <row r="99" spans="14:18" ht="15">
      <c r="N99" s="79"/>
      <c r="O99" s="79"/>
      <c r="P99" s="79"/>
      <c r="Q99" s="2"/>
      <c r="R99" s="2"/>
    </row>
    <row r="100" spans="14:18" ht="15">
      <c r="N100" s="79"/>
      <c r="O100" s="79"/>
      <c r="P100" s="79"/>
      <c r="Q100" s="2"/>
      <c r="R100" s="2"/>
    </row>
    <row r="101" spans="14:18" ht="15">
      <c r="N101" s="79"/>
      <c r="O101" s="79"/>
      <c r="P101" s="79"/>
      <c r="Q101" s="2"/>
      <c r="R101" s="2"/>
    </row>
    <row r="102" spans="14:18" ht="15">
      <c r="N102" s="79"/>
      <c r="O102" s="79"/>
      <c r="P102" s="79"/>
      <c r="Q102" s="2"/>
      <c r="R102" s="2"/>
    </row>
    <row r="103" spans="14:18" ht="15">
      <c r="N103" s="79"/>
      <c r="O103" s="79"/>
      <c r="P103" s="79"/>
      <c r="Q103" s="2"/>
      <c r="R103" s="2"/>
    </row>
    <row r="104" spans="14:18" ht="15">
      <c r="N104" s="79"/>
      <c r="O104" s="79"/>
      <c r="P104" s="79"/>
      <c r="Q104" s="2"/>
      <c r="R104" s="2"/>
    </row>
    <row r="105" spans="14:18" ht="15">
      <c r="N105" s="79"/>
      <c r="O105" s="79"/>
      <c r="P105" s="79"/>
      <c r="Q105" s="2"/>
      <c r="R105" s="2"/>
    </row>
    <row r="106" spans="14:18" ht="15">
      <c r="N106" s="79"/>
      <c r="O106" s="79"/>
      <c r="P106" s="79"/>
      <c r="Q106" s="2"/>
      <c r="R106" s="2"/>
    </row>
  </sheetData>
  <sheetProtection/>
  <mergeCells count="3">
    <mergeCell ref="A1:T1"/>
    <mergeCell ref="A17:T17"/>
    <mergeCell ref="A35:I3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2022-10-31T09:37:00Z</cp:lastPrinted>
  <dcterms:created xsi:type="dcterms:W3CDTF">1996-10-08T23:32:33Z</dcterms:created>
  <dcterms:modified xsi:type="dcterms:W3CDTF">2022-11-16T08:01:28Z</dcterms:modified>
  <cp:category/>
  <cp:version/>
  <cp:contentType/>
  <cp:contentStatus/>
</cp:coreProperties>
</file>